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k34F/RIUhdNkpYxic/o4vPlRYb7WBgRaMNIMgXflsnOAz6tSA4zwuPdQ9KGz3jiN4a5ydiMeG5fn1rI81KcbKQ==" workbookSaltValue="nLMNTpHt4fyBNuKAQvzVq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Y133" i="83" l="1"/>
  <c r="AC298" i="83"/>
  <c r="S279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Y138" i="83" l="1"/>
  <c r="AH247" i="83"/>
  <c r="AG190" i="83"/>
  <c r="AG302" i="83"/>
  <c r="AI245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Y112" i="83" l="1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AP278" i="83"/>
  <c r="AQ222" i="83"/>
  <c r="AP222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Z36" i="83" l="1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<sst xmlns="http://schemas.openxmlformats.org/spreadsheetml/2006/main" count="65745" uniqueCount="755">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</sst>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12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0.87268051763603605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2.0541256376058466E-3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8.1578430694582575E-5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1.352775494103238E-2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8.7813724760410548E-4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0.11077788610702709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7.5999999999999984E-2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1.4998776323539581E-2</v>
      </c>
      <c r="AB3">
        <f>SUMIFS(PERSALDATA!$G$2:$G$20871,PERSALDATA!$A$2:$A$20871,WORKING!A3,PERSALDATA!$D$2:$D$20871,WORKING!B3,PERSALDATA!$E$2:$E$20871,WORKING!C3,PERSALDATA!$F$2:$F$20871,"S&amp;W: BASIC SALARY (RES)")</f>
        <v>148</v>
      </c>
      <c r="AC3" s="2">
        <f>SUMIFS(PERSALDATA!$H$2:$H$20871,PERSALDATA!$A$2:$A$20871,WORKING!A3,PERSALDATA!$D$2:$D$20871,WORKING!B3,PERSALDATA!$E$2:$E$20871,WORKING!C3)</f>
        <v>8718113.2799999993</v>
      </c>
    </row>
    <row r="4" spans="1:29" x14ac:dyDescent="0.25">
      <c r="A4" s="2">
        <f>Results!$D$3</f>
        <v>12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0.68296606299373608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5.6913838582811342E-2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0.11796972529831921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3.0414342881540744E-2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8.8784364799441851E-2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2.2340320112160372E-2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6.11345331990401E-4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6.7460101677669318E-2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6.9276517890239919E-2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6.8276517890239918E-2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6.627651789023993E-2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1.2765068797322246E-2</v>
      </c>
      <c r="AB4" s="2">
        <f>SUMIFS(PERSALDATA!$G$2:$G$20871,PERSALDATA!$A$2:$A$20871,WORKING!A4,PERSALDATA!$D$2:$D$20871,WORKING!B4,PERSALDATA!$E$2:$E$20871,WORKING!C4,PERSALDATA!$F$2:$F$20871,"S&amp;W: BASIC SALARY (RES)")</f>
        <v>2</v>
      </c>
      <c r="AC4" s="2">
        <f>SUMIFS(PERSALDATA!$H$2:$H$20871,PERSALDATA!$A$2:$A$20871,WORKING!A4,PERSALDATA!$D$2:$D$20871,WORKING!B4,PERSALDATA!$E$2:$E$20871,WORKING!C4)</f>
        <v>228872.28</v>
      </c>
    </row>
    <row r="5" spans="1:29" x14ac:dyDescent="0.25">
      <c r="A5" s="2">
        <f>Results!$D$3</f>
        <v>12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0.72939520081415865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0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0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0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7.2889213396612332E-4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0.26987590705187509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7.5999999999999984E-2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6.9999999999999993E-2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6.8999999999999992E-2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6.7000000000000004E-2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1.4989066617990505E-2</v>
      </c>
      <c r="AB5" s="2">
        <f>SUMIFS(PERSALDATA!$G$2:$G$20871,PERSALDATA!$A$2:$A$20871,WORKING!A5,PERSALDATA!$D$2:$D$20871,WORKING!B5,PERSALDATA!$E$2:$E$20871,WORKING!C5,PERSALDATA!$F$2:$F$20871,"S&amp;W: BASIC SALARY (RES)")</f>
        <v>8</v>
      </c>
      <c r="AC5" s="2">
        <f>SUMIFS(PERSALDATA!$H$2:$H$20871,PERSALDATA!$A$2:$A$20871,WORKING!A5,PERSALDATA!$D$2:$D$20871,WORKING!B5,PERSALDATA!$E$2:$E$20871,WORKING!C5)</f>
        <v>191962.56000000003</v>
      </c>
    </row>
    <row r="6" spans="1:29" x14ac:dyDescent="0.25">
      <c r="A6" s="2">
        <f>Results!$D$3</f>
        <v>12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0.67928105472098832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5.3642917065356538E-2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6.1735307654963212E-2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2.788997530750115E-3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5.8888246299612507E-2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8.1343691634585907E-2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9.4381273762347284E-3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4.2235804300479863E-4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2.018625425980327E-2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2.9541204414076008E-2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7.188333214419335E-4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2.0130076791825468E-3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7.213255206641736E-2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7.0265970617944568E-2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6.9265970617944539E-2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6.7265970617944551E-2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1.318431132003629E-2</v>
      </c>
      <c r="AB6" s="2">
        <f>SUMIFS(PERSALDATA!$G$2:$G$20871,PERSALDATA!$A$2:$A$20871,WORKING!A6,PERSALDATA!$D$2:$D$20871,WORKING!B6,PERSALDATA!$E$2:$E$20871,WORKING!C6,PERSALDATA!$F$2:$F$20871,"S&amp;W: BASIC SALARY (RES)")</f>
        <v>90</v>
      </c>
      <c r="AC6" s="2">
        <f>SUMIFS(PERSALDATA!$H$2:$H$20871,PERSALDATA!$A$2:$A$20871,WORKING!A6,PERSALDATA!$D$2:$D$20871,WORKING!B6,PERSALDATA!$E$2:$E$20871,WORKING!C6)</f>
        <v>13237157.650000002</v>
      </c>
    </row>
    <row r="7" spans="1:29" x14ac:dyDescent="0.25">
      <c r="A7" s="2">
        <f>Results!$D$3</f>
        <v>12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0.54347439655469565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3.7969053803603929E-2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4.2902696106073133E-2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0.23196602928160923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3.0264230020692832E-2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6.7461655687240663E-2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9.1554625263664362E-3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2.7699884893509543E-4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9.0915395708969018E-3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2.4839311550388106E-2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9.33827130807713E-4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1.6647989186901184E-3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7.3163094316228125E-2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7.0024936489249651E-2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6.902493648924965E-2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6.7024936489249648E-2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1.3898341125364479E-2</v>
      </c>
      <c r="AB7" s="2">
        <f>SUMIFS(PERSALDATA!$G$2:$G$20871,PERSALDATA!$A$2:$A$20871,WORKING!A7,PERSALDATA!$D$2:$D$20871,WORKING!B7,PERSALDATA!$E$2:$E$20871,WORKING!C7,PERSALDATA!$F$2:$F$20871,"S&amp;W: BASIC SALARY (RES)")</f>
        <v>44</v>
      </c>
      <c r="AC7" s="2">
        <f>SUMIFS(PERSALDATA!$H$2:$H$20871,PERSALDATA!$A$2:$A$20871,WORKING!A7,PERSALDATA!$D$2:$D$20871,WORKING!B7,PERSALDATA!$E$2:$E$20871,WORKING!C7)</f>
        <v>10670658.060000002</v>
      </c>
    </row>
    <row r="8" spans="1:29" x14ac:dyDescent="0.25">
      <c r="A8" s="2">
        <f>Results!$D$3</f>
        <v>12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0.70891447362784521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5.8978744364955808E-2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5.0644389540081672E-2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2.2458986313129127E-2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4.8356109017344773E-2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9.218935344586511E-2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1.8166488489343539E-2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2.9145520143474468E-4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7.2828011921196603E-2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7.0218897739859371E-2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6.921889773985937E-2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6.7218897739859354E-2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1.3510620693617083E-2</v>
      </c>
      <c r="AB8" s="2">
        <f>SUMIFS(PERSALDATA!$G$2:$G$20871,PERSALDATA!$A$2:$A$20871,WORKING!A8,PERSALDATA!$D$2:$D$20871,WORKING!B8,PERSALDATA!$E$2:$E$20871,WORKING!C8,PERSALDATA!$F$2:$F$20871,"S&amp;W: BASIC SALARY (RES)")</f>
        <v>25</v>
      </c>
      <c r="AC8" s="2">
        <f>SUMIFS(PERSALDATA!$H$2:$H$20871,PERSALDATA!$A$2:$A$20871,WORKING!A8,PERSALDATA!$D$2:$D$20871,WORKING!B8,PERSALDATA!$E$2:$E$20871,WORKING!C8)</f>
        <v>5520848.46</v>
      </c>
    </row>
    <row r="9" spans="1:29" x14ac:dyDescent="0.25">
      <c r="A9" s="2">
        <f>Results!$D$3</f>
        <v>12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0.72561336408277344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5.9833026218651525E-2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4.2355541742436734E-2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1.5361219436389569E-2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4.7591693594743148E-2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9.4038474009304582E-2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1.0297926774225112E-2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2.4627090813619459E-4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9.1875090706470554E-4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3.7437323262749164E-3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7.3447262537901209E-2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7.0290319986496791E-2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6.929031998649679E-2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6.7290319986496788E-2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1.3647097406320259E-2</v>
      </c>
      <c r="AB9" s="2">
        <f>SUMIFS(PERSALDATA!$G$2:$G$20871,PERSALDATA!$A$2:$A$20871,WORKING!A9,PERSALDATA!$D$2:$D$20871,WORKING!B9,PERSALDATA!$E$2:$E$20871,WORKING!C9,PERSALDATA!$F$2:$F$20871,"S&amp;W: BASIC SALARY (RES)")</f>
        <v>94</v>
      </c>
      <c r="AC9" s="2">
        <f>SUMIFS(PERSALDATA!$H$2:$H$20871,PERSALDATA!$A$2:$A$20871,WORKING!A9,PERSALDATA!$D$2:$D$20871,WORKING!B9,PERSALDATA!$E$2:$E$20871,WORKING!C9)</f>
        <v>26348382.150000002</v>
      </c>
    </row>
    <row r="10" spans="1:29" x14ac:dyDescent="0.25">
      <c r="A10" s="2">
        <f>Results!$D$3</f>
        <v>12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0.73868875101339315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6.0249278297189512E-2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3.4980330110760072E-2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1.309976254122963E-2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4.0703855486363495E-2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9.6040198275513106E-2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1.3288259460442414E-2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1.946824727017805E-4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1.3845736215460029E-3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8.3784035403336107E-4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5.3246836682737102E-4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7.3911348888391307E-2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7.0260754531187838E-2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6.9260754531187865E-2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6.7260754531187822E-2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1.3861816978952619E-2</v>
      </c>
      <c r="AB10" s="2">
        <f>SUMIFS(PERSALDATA!$G$2:$G$20871,PERSALDATA!$A$2:$A$20871,WORKING!A10,PERSALDATA!$D$2:$D$20871,WORKING!B10,PERSALDATA!$E$2:$E$20871,WORKING!C10,PERSALDATA!$F$2:$F$20871,"S&amp;W: BASIC SALARY (RES)")</f>
        <v>47</v>
      </c>
      <c r="AC10" s="2">
        <f>SUMIFS(PERSALDATA!$H$2:$H$20871,PERSALDATA!$A$2:$A$20871,WORKING!A10,PERSALDATA!$D$2:$D$20871,WORKING!B10,PERSALDATA!$E$2:$E$20871,WORKING!C10)</f>
        <v>16680803.130000003</v>
      </c>
    </row>
    <row r="11" spans="1:29" x14ac:dyDescent="0.25">
      <c r="A11" s="2">
        <f>Results!$D$3</f>
        <v>12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0.74902486080721753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6.2583104854176064E-2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3.0138725089070673E-2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9.5902679013634921E-3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3.4413529895850815E-2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9.743553879233724E-2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1.310899193279106E-2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1.6753567026431848E-4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1.9444003180849592E-3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2.068285641356297E-5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1.1095339244041546E-3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4.628279580262759E-4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7.4191246311772541E-2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7.0214815697547062E-2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6.9214815697547089E-2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6.7214815697547101E-2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1.4029203140172215E-2</v>
      </c>
      <c r="AB11" s="2">
        <f>SUMIFS(PERSALDATA!$G$2:$G$20871,PERSALDATA!$A$2:$A$20871,WORKING!A11,PERSALDATA!$D$2:$D$20871,WORKING!B11,PERSALDATA!$E$2:$E$20871,WORKING!C11,PERSALDATA!$F$2:$F$20871,"S&amp;W: BASIC SALARY (RES)")</f>
        <v>90</v>
      </c>
      <c r="AC11" s="2">
        <f>SUMIFS(PERSALDATA!$H$2:$H$20871,PERSALDATA!$A$2:$A$20871,WORKING!A11,PERSALDATA!$D$2:$D$20871,WORKING!B11,PERSALDATA!$E$2:$E$20871,WORKING!C11)</f>
        <v>38382512.75</v>
      </c>
    </row>
    <row r="12" spans="1:29" x14ac:dyDescent="0.25">
      <c r="A12" s="2">
        <f>Results!$D$3</f>
        <v>12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0.75641708525527451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6.4909706827058641E-2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2.3995965204745378E-2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2.3732202537505788E-3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2.8363739558405918E-2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9.8394708079282328E-2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1.2980712975467806E-2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1.3498782882283517E-4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1.0435474277292243E-2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1.9943997398998749E-3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7.4573398998257046E-2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7.018549644132864E-2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6.9185496441328639E-2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6.7185496441328652E-2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1.421257961112039E-2</v>
      </c>
      <c r="AB12" s="2">
        <f>SUMIFS(PERSALDATA!$G$2:$G$20871,PERSALDATA!$A$2:$A$20871,WORKING!A12,PERSALDATA!$D$2:$D$20871,WORKING!B12,PERSALDATA!$E$2:$E$20871,WORKING!C12,PERSALDATA!$F$2:$F$20871,"S&amp;W: BASIC SALARY (RES)")</f>
        <v>19</v>
      </c>
      <c r="AC12" s="2">
        <f>SUMIFS(PERSALDATA!$H$2:$H$20871,PERSALDATA!$A$2:$A$20871,WORKING!A12,PERSALDATA!$D$2:$D$20871,WORKING!B12,PERSALDATA!$E$2:$E$20871,WORKING!C12)</f>
        <v>11401916.85</v>
      </c>
    </row>
    <row r="13" spans="1:29" x14ac:dyDescent="0.25">
      <c r="A13" s="2">
        <f>Results!$D$3</f>
        <v>12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0.68946433825893172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5.212119740372375E-2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1.1048647380856414E-2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4.974724801573965E-3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2.3770620445898991E-2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8.9630048908634144E-2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2.1126416092132241E-2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1.0962904922601792E-4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9.9738577726808775E-2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8.0157999322137824E-3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1.4476066546860273E-2</v>
      </c>
      <c r="AB13" s="2">
        <f>SUMIFS(PERSALDATA!$G$2:$G$20871,PERSALDATA!$A$2:$A$20871,WORKING!A13,PERSALDATA!$D$2:$D$20871,WORKING!B13,PERSALDATA!$E$2:$E$20871,WORKING!C13,PERSALDATA!$F$2:$F$20871,"S&amp;W: BASIC SALARY (RES)")</f>
        <v>24</v>
      </c>
      <c r="AC13" s="2">
        <f>SUMIFS(PERSALDATA!$H$2:$H$20871,PERSALDATA!$A$2:$A$20871,WORKING!A13,PERSALDATA!$D$2:$D$20871,WORKING!B13,PERSALDATA!$E$2:$E$20871,WORKING!C13)</f>
        <v>15581545.330000002</v>
      </c>
    </row>
    <row r="14" spans="1:29" x14ac:dyDescent="0.25">
      <c r="A14" s="2">
        <f>Results!$D$3</f>
        <v>12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0.703482622883701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4.7726536277274849E-2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1.0720003979395421E-2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6.1632216060443865E-3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1.4476141737355652E-2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8.8879808372050145E-2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1.61879033576308E-2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9.2304579719124338E-5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0.11201933703748124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2.5212016934763877E-4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1.4620673245552948E-2</v>
      </c>
      <c r="AB14" s="2">
        <f>SUMIFS(PERSALDATA!$G$2:$G$20871,PERSALDATA!$A$2:$A$20871,WORKING!A14,PERSALDATA!$D$2:$D$20871,WORKING!B14,PERSALDATA!$E$2:$E$20871,WORKING!C14,PERSALDATA!$F$2:$F$20871,"S&amp;W: BASIC SALARY (RES)")</f>
        <v>34</v>
      </c>
      <c r="AC14" s="2">
        <f>SUMIFS(PERSALDATA!$H$2:$H$20871,PERSALDATA!$A$2:$A$20871,WORKING!A14,PERSALDATA!$D$2:$D$20871,WORKING!B14,PERSALDATA!$E$2:$E$20871,WORKING!C14)</f>
        <v>26399990.199999988</v>
      </c>
    </row>
    <row r="15" spans="1:29" x14ac:dyDescent="0.25">
      <c r="A15" s="2">
        <f>Results!$D$3</f>
        <v>12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0.63499784889515243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3.6923836379578162E-2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1.6327512163768335E-2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1.3142120883928595E-2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8.2647260448751661E-2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1.8352231187548237E-2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7.3554845534935519E-5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0.19193976636309801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0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5.3394369239682616E-3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2.5643190867143329E-4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1.4556852181601521E-2</v>
      </c>
      <c r="AB15" s="2">
        <f>SUMIFS(PERSALDATA!$G$2:$G$20871,PERSALDATA!$A$2:$A$20871,WORKING!A15,PERSALDATA!$D$2:$D$20871,WORKING!B15,PERSALDATA!$E$2:$E$20871,WORKING!C15,PERSALDATA!$F$2:$F$20871,"S&amp;W: BASIC SALARY (RES)")</f>
        <v>38</v>
      </c>
      <c r="AC15" s="2">
        <f>SUMIFS(PERSALDATA!$H$2:$H$20871,PERSALDATA!$A$2:$A$20871,WORKING!A15,PERSALDATA!$D$2:$D$20871,WORKING!B15,PERSALDATA!$E$2:$E$20871,WORKING!C15)</f>
        <v>34636875.130000003</v>
      </c>
    </row>
    <row r="16" spans="1:29" x14ac:dyDescent="0.25">
      <c r="A16" s="2">
        <f>Results!$D$3</f>
        <v>12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0.62662500497743334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3.4649957436686973E-2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8.6765046964623182E-3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9.9796766301092129E-3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8.1461086502773852E-2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2.9230447698605538E-2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6.0243431444876447E-5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0.19930239923496706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1.0014679391516698E-2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1.4719253628629751E-2</v>
      </c>
      <c r="AB16" s="2">
        <f>SUMIFS(PERSALDATA!$G$2:$G$20871,PERSALDATA!$A$2:$A$20871,WORKING!A16,PERSALDATA!$D$2:$D$20871,WORKING!B16,PERSALDATA!$E$2:$E$20871,WORKING!C16,PERSALDATA!$F$2:$F$20871,"S&amp;W: BASIC SALARY (RES)")</f>
        <v>8</v>
      </c>
      <c r="AC16" s="2">
        <f>SUMIFS(PERSALDATA!$H$2:$H$20871,PERSALDATA!$A$2:$A$20871,WORKING!A16,PERSALDATA!$D$2:$D$20871,WORKING!B16,PERSALDATA!$E$2:$E$20871,WORKING!C16)</f>
        <v>10258047.810000001</v>
      </c>
    </row>
    <row r="17" spans="1:29" x14ac:dyDescent="0.25">
      <c r="A17" s="2">
        <f>Results!$D$3</f>
        <v>12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0.68352660318778014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5.6960550265648356E-2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2.6039146635150064E-2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8.8858292514572182E-2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2.3482375257326923E-2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5.1234635465043831E-5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0.12108179750405743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1.4608644280940775E-2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4096447.6099999994</v>
      </c>
    </row>
    <row r="18" spans="1:29" x14ac:dyDescent="0.25">
      <c r="A18" s="2">
        <f>Results!$D$3</f>
        <v>12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0.6769043209417015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7.526309992850487E-2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7.687247865276625E-3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7.3331225141195402E-2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3.7347212545468937E-5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0.16677675891077615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1.4884131073832668E-2</v>
      </c>
      <c r="AB18" s="2">
        <f>SUMIFS(PERSALDATA!$G$2:$G$20871,PERSALDATA!$A$2:$A$20871,WORKING!A18,PERSALDATA!$D$2:$D$20871,WORKING!B18,PERSALDATA!$E$2:$E$20871,WORKING!C18,PERSALDATA!$F$2:$F$20871,"S&amp;W: BASIC SALARY (RES)")</f>
        <v>1</v>
      </c>
      <c r="AC18" s="2">
        <f>SUMIFS(PERSALDATA!$H$2:$H$20871,PERSALDATA!$A$2:$A$20871,WORKING!A18,PERSALDATA!$D$2:$D$20871,WORKING!B18,PERSALDATA!$E$2:$E$20871,WORKING!C18)</f>
        <v>1873232.17</v>
      </c>
    </row>
    <row r="19" spans="1:29" x14ac:dyDescent="0.25">
      <c r="A19" s="2">
        <f>Results!$D$3</f>
        <v>12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12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0.71119336436153968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9.425949439401224E-4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0.26314099869434343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2.4723042000176772E-2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7.0000000000000021E-2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6.8999999999999992E-2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1.4985861075840899E-2</v>
      </c>
      <c r="AB20" s="2">
        <f>SUMIFS(PERSALDATA!$G$2:$G$20871,PERSALDATA!$A$2:$A$20871,WORKING!A20,PERSALDATA!$D$2:$D$20871,WORKING!B20,PERSALDATA!$E$2:$E$20871,WORKING!C20,PERSALDATA!$F$2:$F$20871,"S&amp;W: BASIC SALARY (RES)")</f>
        <v>1</v>
      </c>
      <c r="AC20" s="2">
        <f>SUMIFS(PERSALDATA!$H$2:$H$20871,PERSALDATA!$A$2:$A$20871,WORKING!A20,PERSALDATA!$D$2:$D$20871,WORKING!B20,PERSALDATA!$E$2:$E$20871,WORKING!C20)</f>
        <v>55665.479999999996</v>
      </c>
    </row>
    <row r="21" spans="1:29" x14ac:dyDescent="0.25">
      <c r="A21" s="2">
        <f>Results!$D$3</f>
        <v>12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12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12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12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0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0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-1.2315270935960594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2.2315270935960592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0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5.8758620689655164E-2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5.1527093596059101E-2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5.05270935960591E-2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4.8527093596059098E-2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3.3472906403940884E-2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2330.4399999999996</v>
      </c>
    </row>
    <row r="25" spans="1:29" x14ac:dyDescent="0.25">
      <c r="A25" s="2">
        <f>Results!$D$3</f>
        <v>12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0.72824489729926145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5.9015199897817235E-2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5.2381692824770155E-2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5.5990942656114394E-2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9.4928478240381711E-2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9.1039302719934968E-3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2.9962448998232133E-4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3.5234319679100447E-5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7.2802864542503065E-2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7.0316047211594013E-2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6.9316047211594012E-2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6.731604721159401E-2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1.3369916100436995E-2</v>
      </c>
      <c r="AB25" s="2">
        <f>SUMIFS(PERSALDATA!$G$2:$G$20871,PERSALDATA!$A$2:$A$20871,WORKING!A25,PERSALDATA!$D$2:$D$20871,WORKING!B25,PERSALDATA!$E$2:$E$20871,WORKING!C25,PERSALDATA!$F$2:$F$20871,"S&amp;W: BASIC SALARY (RES)")</f>
        <v>265</v>
      </c>
      <c r="AC25" s="2">
        <f>SUMIFS(PERSALDATA!$H$2:$H$20871,PERSALDATA!$A$2:$A$20871,WORKING!A25,PERSALDATA!$D$2:$D$20871,WORKING!B25,PERSALDATA!$E$2:$E$20871,WORKING!C25)</f>
        <v>62964746.309999995</v>
      </c>
    </row>
    <row r="26" spans="1:29" x14ac:dyDescent="0.25">
      <c r="A26" s="2">
        <f>Results!$D$3</f>
        <v>12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0.73056908431710077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6.1366445518103274E-2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4.2153522233765464E-2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5.3654237751694304E-2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9.4984753740691319E-2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1.6166818203749253E-2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2.3993171181998707E-4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8.6520652307536285E-4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7.3547491638757512E-2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7.0383278343937747E-2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6.9383278343937746E-2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6.7383278343937744E-2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1.3559284624540801E-2</v>
      </c>
      <c r="AB26" s="2">
        <f>SUMIFS(PERSALDATA!$G$2:$G$20871,PERSALDATA!$A$2:$A$20871,WORKING!A26,PERSALDATA!$D$2:$D$20871,WORKING!B26,PERSALDATA!$E$2:$E$20871,WORKING!C26,PERSALDATA!$F$2:$F$20871,"S&amp;W: BASIC SALARY (RES)")</f>
        <v>72</v>
      </c>
      <c r="AC26" s="2">
        <f>SUMIFS(PERSALDATA!$H$2:$H$20871,PERSALDATA!$A$2:$A$20871,WORKING!A26,PERSALDATA!$D$2:$D$20871,WORKING!B26,PERSALDATA!$E$2:$E$20871,WORKING!C26)</f>
        <v>20532092.080000006</v>
      </c>
    </row>
    <row r="27" spans="1:29" x14ac:dyDescent="0.25">
      <c r="A27" s="2">
        <f>Results!$D$3</f>
        <v>12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0.74394179544059702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6.1694794531067736E-2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3.266701466979946E-2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4.6283829834836067E-2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9.5668711251331293E-2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1.6104451456913679E-2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2.019196153048978E-4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3.0384892173430439E-3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3.9899398280687402E-4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7.416528050278294E-2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7.0367587300824555E-2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6.9367587300824554E-2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6.7367587300824552E-2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1.3812708538200894E-2</v>
      </c>
      <c r="AB27" s="2">
        <f>SUMIFS(PERSALDATA!$G$2:$G$20871,PERSALDATA!$A$2:$A$20871,WORKING!A27,PERSALDATA!$D$2:$D$20871,WORKING!B27,PERSALDATA!$E$2:$E$20871,WORKING!C27,PERSALDATA!$F$2:$F$20871,"S&amp;W: BASIC SALARY (RES)")</f>
        <v>64</v>
      </c>
      <c r="AC27" s="2">
        <f>SUMIFS(PERSALDATA!$H$2:$H$20871,PERSALDATA!$A$2:$A$20871,WORKING!A27,PERSALDATA!$D$2:$D$20871,WORKING!B27,PERSALDATA!$E$2:$E$20871,WORKING!C27)</f>
        <v>22260987.34</v>
      </c>
    </row>
    <row r="28" spans="1:29" x14ac:dyDescent="0.25">
      <c r="A28" s="2">
        <f>Results!$D$3</f>
        <v>12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0.75789048128873082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6.3656091763215919E-2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2.9585973894310721E-2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3.4946505154257852E-2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9.8525274663048959E-2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1.4840532308539158E-2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1.7061851038248477E-4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3.8452241751429298E-4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7.4240717056192021E-2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7.0228337838370791E-2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6.9228337838370763E-2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6.7228337838370775E-2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1.4029453536615737E-2</v>
      </c>
      <c r="AB28" s="2">
        <f>SUMIFS(PERSALDATA!$G$2:$G$20871,PERSALDATA!$A$2:$A$20871,WORKING!A28,PERSALDATA!$D$2:$D$20871,WORKING!B28,PERSALDATA!$E$2:$E$20871,WORKING!C28,PERSALDATA!$F$2:$F$20871,"S&amp;W: BASIC SALARY (RES)")</f>
        <v>54</v>
      </c>
      <c r="AC28" s="2">
        <f>SUMIFS(PERSALDATA!$H$2:$H$20871,PERSALDATA!$A$2:$A$20871,WORKING!A28,PERSALDATA!$D$2:$D$20871,WORKING!B28,PERSALDATA!$E$2:$E$20871,WORKING!C28)</f>
        <v>23098783.309999995</v>
      </c>
    </row>
    <row r="29" spans="1:29" x14ac:dyDescent="0.25">
      <c r="A29" s="2">
        <f>Results!$D$3</f>
        <v>12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0.81113139060510375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3.6114274772859126E-2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2.8086180413838452E-2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1.9066099386569207E-2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0.10544657239379546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1.5548242783399707E-4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7.4132375679960241E-2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7.0005129686660159E-2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6.9005129686660158E-2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6.7005129686660156E-2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1.4290383566576375E-2</v>
      </c>
      <c r="AB29" s="2">
        <f>SUMIFS(PERSALDATA!$G$2:$G$20871,PERSALDATA!$A$2:$A$20871,WORKING!A29,PERSALDATA!$D$2:$D$20871,WORKING!B29,PERSALDATA!$E$2:$E$20871,WORKING!C29,PERSALDATA!$F$2:$F$20871,"S&amp;W: BASIC SALARY (RES)")</f>
        <v>8</v>
      </c>
      <c r="AC29" s="2">
        <f>SUMIFS(PERSALDATA!$H$2:$H$20871,PERSALDATA!$A$2:$A$20871,WORKING!A29,PERSALDATA!$D$2:$D$20871,WORKING!B29,PERSALDATA!$E$2:$E$20871,WORKING!C29)</f>
        <v>3599635.07</v>
      </c>
    </row>
    <row r="30" spans="1:29" x14ac:dyDescent="0.25">
      <c r="A30" s="2">
        <f>Results!$D$3</f>
        <v>12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0.69929475347292402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4.6954581875167212E-2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8.2198146110961171E-3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2.0127438385665792E-2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9.0907976229406648E-2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1.941951213366952E-2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1.1426151319059674E-4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0.11496166177888027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1.4573077282350714E-2</v>
      </c>
      <c r="AB30" s="2">
        <f>SUMIFS(PERSALDATA!$G$2:$G$20871,PERSALDATA!$A$2:$A$20871,WORKING!A30,PERSALDATA!$D$2:$D$20871,WORKING!B30,PERSALDATA!$E$2:$E$20871,WORKING!C30,PERSALDATA!$F$2:$F$20871,"S&amp;W: BASIC SALARY (RES)")</f>
        <v>40</v>
      </c>
      <c r="AC30" s="2">
        <f>SUMIFS(PERSALDATA!$H$2:$H$20871,PERSALDATA!$A$2:$A$20871,WORKING!A30,PERSALDATA!$D$2:$D$20871,WORKING!B30,PERSALDATA!$E$2:$E$20871,WORKING!C30)</f>
        <v>24236069.71999998</v>
      </c>
    </row>
    <row r="31" spans="1:29" x14ac:dyDescent="0.25">
      <c r="A31" s="2">
        <f>Results!$D$3</f>
        <v>12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0.70357547838431667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4.1740177419154541E-2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1.4879196535623886E-2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2.8543316047553481E-2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9.1464542151600339E-2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1.7683820878501198E-2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9.2891411593728313E-5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9.8246604658776118E-2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3.7739725128800158E-3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1.4347268940078435E-2</v>
      </c>
      <c r="AB31" s="2">
        <f>SUMIFS(PERSALDATA!$G$2:$G$20871,PERSALDATA!$A$2:$A$20871,WORKING!A31,PERSALDATA!$D$2:$D$20871,WORKING!B31,PERSALDATA!$E$2:$E$20871,WORKING!C31,PERSALDATA!$F$2:$F$20871,"S&amp;W: BASIC SALARY (RES)")</f>
        <v>8</v>
      </c>
      <c r="AC31" s="2">
        <f>SUMIFS(PERSALDATA!$H$2:$H$20871,PERSALDATA!$A$2:$A$20871,WORKING!A31,PERSALDATA!$D$2:$D$20871,WORKING!B31,PERSALDATA!$E$2:$E$20871,WORKING!C31)</f>
        <v>6276145.3399999999</v>
      </c>
    </row>
    <row r="32" spans="1:29" x14ac:dyDescent="0.25">
      <c r="A32" s="2">
        <f>Results!$D$3</f>
        <v>12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0.64273190267669578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4.1060951688879702E-2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2.2271517382291373E-2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9.92217657763181E-3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8.3209453000049408E-2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1.7954312977618694E-2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7.5120460217029402E-5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0.18187692462482094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8.9764061179525715E-4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1.4515967783697898E-2</v>
      </c>
      <c r="AB32" s="2">
        <f>SUMIFS(PERSALDATA!$G$2:$G$20871,PERSALDATA!$A$2:$A$20871,WORKING!A32,PERSALDATA!$D$2:$D$20871,WORKING!B32,PERSALDATA!$E$2:$E$20871,WORKING!C32,PERSALDATA!$F$2:$F$20871,"S&amp;W: BASIC SALARY (RES)")</f>
        <v>22</v>
      </c>
      <c r="AC32" s="2">
        <f>SUMIFS(PERSALDATA!$H$2:$H$20871,PERSALDATA!$A$2:$A$20871,WORKING!A32,PERSALDATA!$D$2:$D$20871,WORKING!B32,PERSALDATA!$E$2:$E$20871,WORKING!C32)</f>
        <v>19790214.220000003</v>
      </c>
    </row>
    <row r="33" spans="1:29" x14ac:dyDescent="0.25">
      <c r="A33" s="2">
        <f>Results!$D$3</f>
        <v>12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0.62385528867523454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1.0217758949695543E-2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1.5309928187292467E-2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2.1052253515920997E-2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8.1101034857644569E-2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1.8250362647788031E-2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6.1691197787293016E-5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0.22667060299305572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3.4810789755808603E-3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1.4453641906484989E-2</v>
      </c>
      <c r="AB33" s="2">
        <f>SUMIFS(PERSALDATA!$G$2:$G$20871,PERSALDATA!$A$2:$A$20871,WORKING!A33,PERSALDATA!$D$2:$D$20871,WORKING!B33,PERSALDATA!$E$2:$E$20871,WORKING!C33,PERSALDATA!$F$2:$F$20871,"S&amp;W: BASIC SALARY (RES)")</f>
        <v>6</v>
      </c>
      <c r="AC33" s="2">
        <f>SUMIFS(PERSALDATA!$H$2:$H$20871,PERSALDATA!$A$2:$A$20871,WORKING!A33,PERSALDATA!$D$2:$D$20871,WORKING!B33,PERSALDATA!$E$2:$E$20871,WORKING!C33)</f>
        <v>6804212.1899999995</v>
      </c>
    </row>
    <row r="34" spans="1:29" x14ac:dyDescent="0.25">
      <c r="A34" s="2">
        <f>Results!$D$3</f>
        <v>12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0.58018296867373331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2.4714143977578061E-2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9.499812976020619E-2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7.5423666618798998E-2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2.9664794955397828E-2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5.2167766825413467E-5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0.19165256374672182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3.3115645007384393E-3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1.3574245537094526E-2</v>
      </c>
      <c r="AB34" s="2">
        <f>SUMIFS(PERSALDATA!$G$2:$G$20871,PERSALDATA!$A$2:$A$20871,WORKING!A34,PERSALDATA!$D$2:$D$20871,WORKING!B34,PERSALDATA!$E$2:$E$20871,WORKING!C34,PERSALDATA!$F$2:$F$20871,"S&amp;W: BASIC SALARY (RES)")</f>
        <v>2</v>
      </c>
      <c r="AC34" s="2">
        <f>SUMIFS(PERSALDATA!$H$2:$H$20871,PERSALDATA!$A$2:$A$20871,WORKING!A34,PERSALDATA!$D$2:$D$20871,WORKING!B34,PERSALDATA!$E$2:$E$20871,WORKING!C34)</f>
        <v>2682115.96</v>
      </c>
    </row>
    <row r="35" spans="1:29" x14ac:dyDescent="0.25">
      <c r="A35" s="2">
        <f>Results!$D$3</f>
        <v>12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12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12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0.72505529721312401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4.204460980076089E-3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1.0675854005901407E-3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0.26967265640620974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1.4983986218991146E-2</v>
      </c>
      <c r="AB37" s="2">
        <f>SUMIFS(PERSALDATA!$G$2:$G$20871,PERSALDATA!$A$2:$A$20871,WORKING!A37,PERSALDATA!$D$2:$D$20871,WORKING!B37,PERSALDATA!$E$2:$E$20871,WORKING!C37,PERSALDATA!$F$2:$F$20871,"S&amp;W: BASIC SALARY (RES)")</f>
        <v>299</v>
      </c>
      <c r="AC37" s="2">
        <f>SUMIFS(PERSALDATA!$H$2:$H$20871,PERSALDATA!$A$2:$A$20871,WORKING!A37,PERSALDATA!$D$2:$D$20871,WORKING!B37,PERSALDATA!$E$2:$E$20871,WORKING!C37)</f>
        <v>21351650.170000002</v>
      </c>
    </row>
    <row r="38" spans="1:29" x14ac:dyDescent="0.25">
      <c r="A38" s="2">
        <f>Results!$D$3</f>
        <v>12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0.72171024479236812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5.5364782631207032E-3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6.2622837006872734E-4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0.27212704857444253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1.4990606574448969E-2</v>
      </c>
      <c r="AB38" s="2">
        <f>SUMIFS(PERSALDATA!$G$2:$G$20871,PERSALDATA!$A$2:$A$20871,WORKING!A38,PERSALDATA!$D$2:$D$20871,WORKING!B38,PERSALDATA!$E$2:$E$20871,WORKING!C38,PERSALDATA!$F$2:$F$20871,"S&amp;W: BASIC SALARY (RES)")</f>
        <v>11</v>
      </c>
      <c r="AC38" s="2">
        <f>SUMIFS(PERSALDATA!$H$2:$H$20871,PERSALDATA!$A$2:$A$20871,WORKING!A38,PERSALDATA!$D$2:$D$20871,WORKING!B38,PERSALDATA!$E$2:$E$20871,WORKING!C38)</f>
        <v>3886537.43</v>
      </c>
    </row>
    <row r="39" spans="1:29" x14ac:dyDescent="0.25">
      <c r="A39" s="2">
        <f>Results!$D$3</f>
        <v>12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12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0.7294150880283089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7.0199165749742739E-4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0.26988292031419364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7.5999999999999984E-2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1.4989470125137537E-2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41524.71</v>
      </c>
    </row>
    <row r="41" spans="1:29" x14ac:dyDescent="0.25">
      <c r="A41" s="2">
        <f>Results!$D$3</f>
        <v>12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0.69567206093817957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5.7649371280526128E-2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7.2889559228997758E-2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8.298698383186788E-2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9.0436479662101776E-2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3.6554505832693063E-4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7.1622211272242317E-2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7.0515909165188045E-2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6.9515909165188058E-2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6.7515909165188043E-2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1.2656368678212113E-2</v>
      </c>
      <c r="AB41" s="2">
        <f>SUMIFS(PERSALDATA!$G$2:$G$20871,PERSALDATA!$A$2:$A$20871,WORKING!A41,PERSALDATA!$D$2:$D$20871,WORKING!B41,PERSALDATA!$E$2:$E$20871,WORKING!C41,PERSALDATA!$F$2:$F$20871,"S&amp;W: BASIC SALARY (RES)")</f>
        <v>2</v>
      </c>
      <c r="AC41" s="2">
        <f>SUMIFS(PERSALDATA!$H$2:$H$20871,PERSALDATA!$A$2:$A$20871,WORKING!A41,PERSALDATA!$D$2:$D$20871,WORKING!B41,PERSALDATA!$E$2:$E$20871,WORKING!C41)</f>
        <v>382770.87</v>
      </c>
    </row>
    <row r="42" spans="1:29" x14ac:dyDescent="0.25">
      <c r="A42" s="2">
        <f>Results!$D$3</f>
        <v>12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0.73342267455542687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5.8971895933466689E-2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5.1749051883286178E-2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4.8592844137317633E-2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9.3813020305338765E-2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1.3149835459212887E-2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3.0067772595091137E-4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7.2747371874792688E-2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7.0211402143226895E-2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6.9211402143226894E-2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6.7211402143226906E-2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1.3490361393801676E-2</v>
      </c>
      <c r="AB42" s="2">
        <f>SUMIFS(PERSALDATA!$G$2:$G$20871,PERSALDATA!$A$2:$A$20871,WORKING!A42,PERSALDATA!$D$2:$D$20871,WORKING!B42,PERSALDATA!$E$2:$E$20871,WORKING!C42,PERSALDATA!$F$2:$F$20871,"S&amp;W: BASIC SALARY (RES)")</f>
        <v>60</v>
      </c>
      <c r="AC42" s="2">
        <f>SUMIFS(PERSALDATA!$H$2:$H$20871,PERSALDATA!$A$2:$A$20871,WORKING!A42,PERSALDATA!$D$2:$D$20871,WORKING!B42,PERSALDATA!$E$2:$E$20871,WORKING!C42)</f>
        <v>13727787.740000002</v>
      </c>
    </row>
    <row r="43" spans="1:29" x14ac:dyDescent="0.25">
      <c r="A43" s="2">
        <f>Results!$D$3</f>
        <v>12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0.74882599154576135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6.1499628893275288E-2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3.5827242785626288E-2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4.0734268370887471E-2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9.7346666306510204E-2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1.5509333833930168E-2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2.5686826400924431E-4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7.3847409305484835E-2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7.0252741597707058E-2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6.9252741597707057E-2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6.7252741597707055E-2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1.3847724308692154E-2</v>
      </c>
      <c r="AB43" s="2">
        <f>SUMIFS(PERSALDATA!$G$2:$G$20871,PERSALDATA!$A$2:$A$20871,WORKING!A43,PERSALDATA!$D$2:$D$20871,WORKING!B43,PERSALDATA!$E$2:$E$20871,WORKING!C43,PERSALDATA!$F$2:$F$20871,"S&amp;W: BASIC SALARY (RES)")</f>
        <v>12</v>
      </c>
      <c r="AC43" s="2">
        <f>SUMIFS(PERSALDATA!$H$2:$H$20871,PERSALDATA!$A$2:$A$20871,WORKING!A43,PERSALDATA!$D$2:$D$20871,WORKING!B43,PERSALDATA!$E$2:$E$20871,WORKING!C43)</f>
        <v>3290791.89</v>
      </c>
    </row>
    <row r="44" spans="1:29" x14ac:dyDescent="0.25">
      <c r="A44" s="2">
        <f>Results!$D$3</f>
        <v>12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0.7709932484778852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5.9241510614239566E-2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3.4144193440499945E-2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2.3726085007547134E-2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0.1002285047538153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1.1448808271484034E-2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2.17649434528939E-4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7.3737206488627666E-2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7.0014449340708218E-2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6.9014449340708217E-2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6.7014449340708215E-2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1.412868108176136E-2</v>
      </c>
      <c r="AB44" s="2">
        <f>SUMIFS(PERSALDATA!$G$2:$G$20871,PERSALDATA!$A$2:$A$20871,WORKING!A44,PERSALDATA!$D$2:$D$20871,WORKING!B44,PERSALDATA!$E$2:$E$20871,WORKING!C44,PERSALDATA!$F$2:$F$20871,"S&amp;W: BASIC SALARY (RES)")</f>
        <v>28</v>
      </c>
      <c r="AC44" s="2">
        <f>SUMIFS(PERSALDATA!$H$2:$H$20871,PERSALDATA!$A$2:$A$20871,WORKING!A44,PERSALDATA!$D$2:$D$20871,WORKING!B44,PERSALDATA!$E$2:$E$20871,WORKING!C44)</f>
        <v>8838984.5999999996</v>
      </c>
    </row>
    <row r="45" spans="1:29" x14ac:dyDescent="0.25">
      <c r="A45" s="2">
        <f>Results!$D$3</f>
        <v>12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0.75779934956737893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5.9183465241562767E-2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2.6544606228856099E-2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4.3924390549456363E-2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9.8658598127942615E-2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1.3719591879580988E-2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1.6999840522235698E-4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7.4597551394299327E-2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7.0393419795953316E-2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6.9393419795953301E-2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6.7393419795953313E-2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1.394041507224698E-2</v>
      </c>
      <c r="AB45" s="2">
        <f>SUMIFS(PERSALDATA!$G$2:$G$20871,PERSALDATA!$A$2:$A$20871,WORKING!A45,PERSALDATA!$D$2:$D$20871,WORKING!B45,PERSALDATA!$E$2:$E$20871,WORKING!C45,PERSALDATA!$F$2:$F$20871,"S&amp;W: BASIC SALARY (RES)")</f>
        <v>16</v>
      </c>
      <c r="AC45" s="2">
        <f>SUMIFS(PERSALDATA!$H$2:$H$20871,PERSALDATA!$A$2:$A$20871,WORKING!A45,PERSALDATA!$D$2:$D$20871,WORKING!B45,PERSALDATA!$E$2:$E$20871,WORKING!C45)</f>
        <v>6995771.5099999988</v>
      </c>
    </row>
    <row r="46" spans="1:29" x14ac:dyDescent="0.25">
      <c r="A46" s="2">
        <f>Results!$D$3</f>
        <v>12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0.78381373262743403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6.506830025513452E-2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2.6457698667037621E-2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1.1923602865944955E-2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0.1018954765684153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1.07040793420523E-2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1.3710967398118163E-4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7.4156145341428364E-2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6.9914277056318794E-2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6.8914277056318793E-2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6.6914277056318791E-2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1.4422223831895542E-2</v>
      </c>
      <c r="AB46" s="2">
        <f>SUMIFS(PERSALDATA!$G$2:$G$20871,PERSALDATA!$A$2:$A$20871,WORKING!A46,PERSALDATA!$D$2:$D$20871,WORKING!B46,PERSALDATA!$E$2:$E$20871,WORKING!C46,PERSALDATA!$F$2:$F$20871,"S&amp;W: BASIC SALARY (RES)")</f>
        <v>2</v>
      </c>
      <c r="AC46" s="2">
        <f>SUMIFS(PERSALDATA!$H$2:$H$20871,PERSALDATA!$A$2:$A$20871,WORKING!A46,PERSALDATA!$D$2:$D$20871,WORKING!B46,PERSALDATA!$E$2:$E$20871,WORKING!C46)</f>
        <v>1020496.92</v>
      </c>
    </row>
    <row r="47" spans="1:29" x14ac:dyDescent="0.25">
      <c r="A47" s="2">
        <f>Results!$D$3</f>
        <v>12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0.69713430718157143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5.7284476721079607E-2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9.8747988904832537E-3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1.6766182776699116E-2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9.0627120682444273E-2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2.2127336304037036E-2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1.123431968517599E-4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0.10607343424683351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1.4598700127039489E-2</v>
      </c>
      <c r="AB47" s="2">
        <f>SUMIFS(PERSALDATA!$G$2:$G$20871,PERSALDATA!$A$2:$A$20871,WORKING!A47,PERSALDATA!$D$2:$D$20871,WORKING!B47,PERSALDATA!$E$2:$E$20871,WORKING!C47,PERSALDATA!$F$2:$F$20871,"S&amp;W: BASIC SALARY (RES)")</f>
        <v>36</v>
      </c>
      <c r="AC47" s="2">
        <f>SUMIFS(PERSALDATA!$H$2:$H$20871,PERSALDATA!$A$2:$A$20871,WORKING!A47,PERSALDATA!$D$2:$D$20871,WORKING!B47,PERSALDATA!$E$2:$E$20871,WORKING!C47)</f>
        <v>22574130.619999994</v>
      </c>
    </row>
    <row r="48" spans="1:29" x14ac:dyDescent="0.25">
      <c r="A48" s="2">
        <f>Results!$D$3</f>
        <v>12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0.678429454405306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3.7163470063007742E-2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2.5818070043391306E-2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2.3726144368080626E-2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8.8195542337645205E-2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2.2161635523630714E-2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9.2627291294136198E-5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9.647962979870979E-2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2.7933426168934527E-2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1.425544737445851E-2</v>
      </c>
      <c r="AB48" s="2">
        <f>SUMIFS(PERSALDATA!$G$2:$G$20871,PERSALDATA!$A$2:$A$20871,WORKING!A48,PERSALDATA!$D$2:$D$20871,WORKING!B48,PERSALDATA!$E$2:$E$20871,WORKING!C48,PERSALDATA!$F$2:$F$20871,"S&amp;W: BASIC SALARY (RES)")</f>
        <v>3</v>
      </c>
      <c r="AC48" s="2">
        <f>SUMIFS(PERSALDATA!$H$2:$H$20871,PERSALDATA!$A$2:$A$20871,WORKING!A48,PERSALDATA!$D$2:$D$20871,WORKING!B48,PERSALDATA!$E$2:$E$20871,WORKING!C48)</f>
        <v>2265854.88</v>
      </c>
    </row>
    <row r="49" spans="1:29" x14ac:dyDescent="0.25">
      <c r="A49" s="2">
        <f>Results!$D$3</f>
        <v>12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0.64250925593853458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4.6427052004450256E-2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1.0637871217765242E-2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1.4228828654455242E-2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8.2207989488363775E-2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1.9133627374724387E-2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7.5678496936225855E-5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0.1839845287530702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7.9516807170023328E-4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1.462586432446265E-2</v>
      </c>
      <c r="AB49" s="2">
        <f>SUMIFS(PERSALDATA!$G$2:$G$20871,PERSALDATA!$A$2:$A$20871,WORKING!A49,PERSALDATA!$D$2:$D$20871,WORKING!B49,PERSALDATA!$E$2:$E$20871,WORKING!C49,PERSALDATA!$F$2:$F$20871,"S&amp;W: BASIC SALARY (RES)")</f>
        <v>25</v>
      </c>
      <c r="AC49" s="2">
        <f>SUMIFS(PERSALDATA!$H$2:$H$20871,PERSALDATA!$A$2:$A$20871,WORKING!A49,PERSALDATA!$D$2:$D$20871,WORKING!B49,PERSALDATA!$E$2:$E$20871,WORKING!C49)</f>
        <v>22340559.979999997</v>
      </c>
    </row>
    <row r="50" spans="1:29" x14ac:dyDescent="0.25">
      <c r="A50" s="2">
        <f>Results!$D$3</f>
        <v>12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0.64579607164991459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4.8484414942005435E-2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5.958965668178628E-3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1.4913602822326486E-2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8.4053103280153113E-2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1.2983838429422015E-2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6.2919893639940447E-5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0.18774708331435988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1.4685967674237825E-2</v>
      </c>
      <c r="AB50" s="2">
        <f>SUMIFS(PERSALDATA!$G$2:$G$20871,PERSALDATA!$A$2:$A$20871,WORKING!A50,PERSALDATA!$D$2:$D$20871,WORKING!B50,PERSALDATA!$E$2:$E$20871,WORKING!C50,PERSALDATA!$F$2:$F$20871,"S&amp;W: BASIC SALARY (RES)")</f>
        <v>7</v>
      </c>
      <c r="AC50" s="2">
        <f>SUMIFS(PERSALDATA!$H$2:$H$20871,PERSALDATA!$A$2:$A$20871,WORKING!A50,PERSALDATA!$D$2:$D$20871,WORKING!B50,PERSALDATA!$E$2:$E$20871,WORKING!C50)</f>
        <v>7783229.9399999995</v>
      </c>
    </row>
    <row r="51" spans="1:29" x14ac:dyDescent="0.25">
      <c r="A51" s="2">
        <f>Results!$D$3</f>
        <v>12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12</v>
      </c>
      <c r="B52" s="2">
        <v>3</v>
      </c>
      <c r="C52" s="2">
        <v>16</v>
      </c>
      <c r="D52" s="62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>0.5999747206444086</v>
      </c>
      <c r="E52" s="62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>4.9997893387034059E-2</v>
      </c>
      <c r="F52" s="62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>2.6561431791795657E-2</v>
      </c>
      <c r="G52" s="69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>0</v>
      </c>
      <c r="H52" s="62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>0</v>
      </c>
      <c r="I52" s="62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>7.7996602618791544E-2</v>
      </c>
      <c r="J52" s="62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>0</v>
      </c>
      <c r="K52" s="62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>4.2228837563722028E-5</v>
      </c>
      <c r="L52" s="62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>0</v>
      </c>
      <c r="M52" s="62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>0.24542712272040637</v>
      </c>
      <c r="N52" s="62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>0</v>
      </c>
      <c r="O52" s="62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>0</v>
      </c>
      <c r="P52" s="62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>0</v>
      </c>
      <c r="Q52" s="62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>0</v>
      </c>
      <c r="R52" s="62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>0</v>
      </c>
      <c r="S52" s="62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>0</v>
      </c>
      <c r="T52" s="62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>0</v>
      </c>
      <c r="U52" s="62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>0</v>
      </c>
      <c r="V52" s="62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>0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1.4600945090559607E-2</v>
      </c>
      <c r="AB52" s="2">
        <f>SUMIFS(PERSALDATA!$G$2:$G$20871,PERSALDATA!$A$2:$A$20871,WORKING!A52,PERSALDATA!$D$2:$D$20871,WORKING!B52,PERSALDATA!$E$2:$E$20871,WORKING!C52,PERSALDATA!$F$2:$F$20871,"S&amp;W: BASIC SALARY (RES)")</f>
        <v>1</v>
      </c>
      <c r="AC52" s="2">
        <f>SUMIFS(PERSALDATA!$H$2:$H$20871,PERSALDATA!$A$2:$A$20871,WORKING!A52,PERSALDATA!$D$2:$D$20871,WORKING!B52,PERSALDATA!$E$2:$E$20871,WORKING!C52)</f>
        <v>1656687.7999999998</v>
      </c>
    </row>
    <row r="53" spans="1:29" x14ac:dyDescent="0.25">
      <c r="A53" s="2">
        <f>Results!$D$3</f>
        <v>12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12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12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12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12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12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0.75997936789673659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6.3331613991394711E-2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7.7490928682285701E-2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9.8796514216944978E-2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4.015752126379784E-4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7.0110689420146283E-2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6.9225090713177145E-2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6.8225090713177144E-2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6.6225090713177143E-2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1.3831612441576144E-2</v>
      </c>
      <c r="AB58" s="2">
        <f>SUMIFS(PERSALDATA!$G$2:$G$20871,PERSALDATA!$A$2:$A$20871,WORKING!A58,PERSALDATA!$D$2:$D$20871,WORKING!B58,PERSALDATA!$E$2:$E$20871,WORKING!C58,PERSALDATA!$F$2:$F$20871,"S&amp;W: BASIC SALARY (RES)")</f>
        <v>1</v>
      </c>
      <c r="AC58" s="2">
        <f>SUMIFS(PERSALDATA!$H$2:$H$20871,PERSALDATA!$A$2:$A$20871,WORKING!A58,PERSALDATA!$D$2:$D$20871,WORKING!B58,PERSALDATA!$E$2:$E$20871,WORKING!C58)</f>
        <v>174213.94</v>
      </c>
    </row>
    <row r="59" spans="1:29" x14ac:dyDescent="0.25">
      <c r="A59" s="2">
        <f>Results!$D$3</f>
        <v>12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0.78984934283279307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2.9635164754867868E-2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3.9991142702468119E-2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2.8150555296765134E-2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0.10267941478969556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9.3585692255320242E-3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3.3581039787813243E-4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7.3354780928767127E-2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7.0022346902426785E-2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6.9022346902426784E-2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6.7022346902426796E-2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1.3972837374043326E-2</v>
      </c>
      <c r="AB59" s="2">
        <f>SUMIFS(PERSALDATA!$G$2:$G$20871,PERSALDATA!$A$2:$A$20871,WORKING!A59,PERSALDATA!$D$2:$D$20871,WORKING!B59,PERSALDATA!$E$2:$E$20871,WORKING!C59,PERSALDATA!$F$2:$F$20871,"S&amp;W: BASIC SALARY (RES)")</f>
        <v>3</v>
      </c>
      <c r="AC59" s="2">
        <f>SUMIFS(PERSALDATA!$H$2:$H$20871,PERSALDATA!$A$2:$A$20871,WORKING!A59,PERSALDATA!$D$2:$D$20871,WORKING!B59,PERSALDATA!$E$2:$E$20871,WORKING!C59)</f>
        <v>607634.55000000005</v>
      </c>
    </row>
    <row r="60" spans="1:29" x14ac:dyDescent="0.25">
      <c r="A60" s="2">
        <f>Results!$D$3</f>
        <v>12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0.73272311504065812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6.6717515618076012E-2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4.4383909651753303E-2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4.6988087307189869E-2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9.5376866478482328E-2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5.9425466542216768E-3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2.5000791620262972E-4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7.6179513334161501E-3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7.32846560887674E-2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7.0260982213090323E-2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6.9260982213090322E-2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6.7260982213090348E-2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1.3625669926872813E-2</v>
      </c>
      <c r="AB60" s="2">
        <f>SUMIFS(PERSALDATA!$G$2:$G$20871,PERSALDATA!$A$2:$A$20871,WORKING!A60,PERSALDATA!$D$2:$D$20871,WORKING!B60,PERSALDATA!$E$2:$E$20871,WORKING!C60,PERSALDATA!$F$2:$F$20871,"S&amp;W: BASIC SALARY (RES)")</f>
        <v>7</v>
      </c>
      <c r="AC60" s="2">
        <f>SUMIFS(PERSALDATA!$H$2:$H$20871,PERSALDATA!$A$2:$A$20871,WORKING!A60,PERSALDATA!$D$2:$D$20871,WORKING!B60,PERSALDATA!$E$2:$E$20871,WORKING!C60)</f>
        <v>2331926.1599999997</v>
      </c>
    </row>
    <row r="61" spans="1:29" x14ac:dyDescent="0.25">
      <c r="A61" s="2">
        <f>Results!$D$3</f>
        <v>12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0.74138073839240992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6.5099572771187608E-2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3.3359397247495745E-2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5.1543334563819473E-2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9.6401189053539199E-2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1.196087930724361E-2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2.0000060686593506E-4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5.4888057438365953E-5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7.4186292493083783E-2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7.0439556045982343E-2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6.9439556045982329E-2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6.7439556045982313E-2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1.372345901372728E-2</v>
      </c>
      <c r="AB61" s="2">
        <f>SUMIFS(PERSALDATA!$G$2:$G$20871,PERSALDATA!$A$2:$A$20871,WORKING!A61,PERSALDATA!$D$2:$D$20871,WORKING!B61,PERSALDATA!$E$2:$E$20871,WORKING!C61,PERSALDATA!$F$2:$F$20871,"S&amp;W: BASIC SALARY (RES)")</f>
        <v>35</v>
      </c>
      <c r="AC61" s="2">
        <f>SUMIFS(PERSALDATA!$H$2:$H$20871,PERSALDATA!$A$2:$A$20871,WORKING!A61,PERSALDATA!$D$2:$D$20871,WORKING!B61,PERSALDATA!$E$2:$E$20871,WORKING!C61)</f>
        <v>12068563.380000001</v>
      </c>
    </row>
    <row r="62" spans="1:29" x14ac:dyDescent="0.25">
      <c r="A62" s="2">
        <f>Results!$D$3</f>
        <v>12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0.76336324279757817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6.5305982211658065E-2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2.8434325883741004E-2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3.0385236576319901E-2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9.9236710679269341E-2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1.3101194635172234E-2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1.7330721626140143E-4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7.4264384544904166E-2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7.0171435289807405E-2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6.917143528980739E-2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6.7171435289807402E-2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1.4115106954855166E-2</v>
      </c>
      <c r="AB62" s="2">
        <f>SUMIFS(PERSALDATA!$G$2:$G$20871,PERSALDATA!$A$2:$A$20871,WORKING!A62,PERSALDATA!$D$2:$D$20871,WORKING!B62,PERSALDATA!$E$2:$E$20871,WORKING!C62,PERSALDATA!$F$2:$F$20871,"S&amp;W: BASIC SALARY (RES)")</f>
        <v>17</v>
      </c>
      <c r="AC62" s="2">
        <f>SUMIFS(PERSALDATA!$H$2:$H$20871,PERSALDATA!$A$2:$A$20871,WORKING!A62,PERSALDATA!$D$2:$D$20871,WORKING!B62,PERSALDATA!$E$2:$E$20871,WORKING!C62)</f>
        <v>6963414.5999999996</v>
      </c>
    </row>
    <row r="63" spans="1:29" x14ac:dyDescent="0.25">
      <c r="A63" s="2">
        <f>Results!$D$3</f>
        <v>12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0.7580543590386144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7.0463269157362937E-2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2.2908569487834998E-2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3.3856829385732319E-2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9.8737943658959451E-2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1.5844483000566199E-2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1.3454627092973788E-4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7.4732944330324805E-2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7.0278766745907634E-2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6.9278766745907647E-2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6.7278766745907645E-2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1.4146500822832545E-2</v>
      </c>
      <c r="AB63" s="2">
        <f>SUMIFS(PERSALDATA!$G$2:$G$20871,PERSALDATA!$A$2:$A$20871,WORKING!A63,PERSALDATA!$D$2:$D$20871,WORKING!B63,PERSALDATA!$E$2:$E$20871,WORKING!C63,PERSALDATA!$F$2:$F$20871,"S&amp;W: BASIC SALARY (RES)")</f>
        <v>11</v>
      </c>
      <c r="AC63" s="2">
        <f>SUMIFS(PERSALDATA!$H$2:$H$20871,PERSALDATA!$A$2:$A$20871,WORKING!A63,PERSALDATA!$D$2:$D$20871,WORKING!B63,PERSALDATA!$E$2:$E$20871,WORKING!C63)</f>
        <v>5892991.2699999996</v>
      </c>
    </row>
    <row r="64" spans="1:29" x14ac:dyDescent="0.25">
      <c r="A64" s="2">
        <f>Results!$D$3</f>
        <v>12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0.70808439363722053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5.8179267299352945E-2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2.6686684739643973E-2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1.6829922295972251E-2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9.2050645789693741E-2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2.4964270494764899E-2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1.1401770842580583E-4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7.3090798034925908E-2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1.434554062883937E-2</v>
      </c>
      <c r="AB64" s="2">
        <f>SUMIFS(PERSALDATA!$G$2:$G$20871,PERSALDATA!$A$2:$A$20871,WORKING!A64,PERSALDATA!$D$2:$D$20871,WORKING!B64,PERSALDATA!$E$2:$E$20871,WORKING!C64,PERSALDATA!$F$2:$F$20871,"S&amp;W: BASIC SALARY (RES)")</f>
        <v>9</v>
      </c>
      <c r="AC64" s="2">
        <f>SUMIFS(PERSALDATA!$H$2:$H$20871,PERSALDATA!$A$2:$A$20871,WORKING!A64,PERSALDATA!$D$2:$D$20871,WORKING!B64,PERSALDATA!$E$2:$E$20871,WORKING!C64)</f>
        <v>5164373.22</v>
      </c>
    </row>
    <row r="65" spans="1:29" x14ac:dyDescent="0.25">
      <c r="A65" s="2">
        <f>Results!$D$3</f>
        <v>12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0.69143164289125092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5.3841026976018558E-2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1.507023973284944E-2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1.4186143058907958E-2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8.9885834438877044E-2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1.6795624683746083E-2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9.2040778733550673E-5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0.11869744743961635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1.4559773646442635E-2</v>
      </c>
      <c r="AB65" s="2">
        <f>SUMIFS(PERSALDATA!$G$2:$G$20871,PERSALDATA!$A$2:$A$20871,WORKING!A65,PERSALDATA!$D$2:$D$20871,WORKING!B65,PERSALDATA!$E$2:$E$20871,WORKING!C65,PERSALDATA!$F$2:$F$20871,"S&amp;W: BASIC SALARY (RES)")</f>
        <v>7</v>
      </c>
      <c r="AC65" s="2">
        <f>SUMIFS(PERSALDATA!$H$2:$H$20871,PERSALDATA!$A$2:$A$20871,WORKING!A65,PERSALDATA!$D$2:$D$20871,WORKING!B65,PERSALDATA!$E$2:$E$20871,WORKING!C65)</f>
        <v>5320685.1000000006</v>
      </c>
    </row>
    <row r="66" spans="1:29" x14ac:dyDescent="0.25">
      <c r="A66" s="2">
        <f>Results!$D$3</f>
        <v>12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0.65146811275091898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4.5058514504829082E-2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3.59321145108824E-2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1.6824343762863396E-2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8.4690634883672233E-2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8.8500014870958928E-3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7.6203793233337361E-5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0.15710007430650469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1.4207510068995313E-2</v>
      </c>
      <c r="AB66" s="2">
        <f>SUMIFS(PERSALDATA!$G$2:$G$20871,PERSALDATA!$A$2:$A$20871,WORKING!A66,PERSALDATA!$D$2:$D$20871,WORKING!B66,PERSALDATA!$E$2:$E$20871,WORKING!C66,PERSALDATA!$F$2:$F$20871,"S&amp;W: BASIC SALARY (RES)")</f>
        <v>12</v>
      </c>
      <c r="AC66" s="2">
        <f>SUMIFS(PERSALDATA!$H$2:$H$20871,PERSALDATA!$A$2:$A$20871,WORKING!A66,PERSALDATA!$D$2:$D$20871,WORKING!B66,PERSALDATA!$E$2:$E$20871,WORKING!C66)</f>
        <v>11016774.42</v>
      </c>
    </row>
    <row r="67" spans="1:29" x14ac:dyDescent="0.25">
      <c r="A67" s="2">
        <f>Results!$D$3</f>
        <v>12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0.62537099295143528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3.6646928027333298E-2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7.9153654552662316E-3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8.1298044761437135E-2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1.0752199453744251E-2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5.8014738546949519E-5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0.23795845461223677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1.4880399297092802E-2</v>
      </c>
      <c r="AB67" s="2">
        <f>SUMIFS(PERSALDATA!$G$2:$G$20871,PERSALDATA!$A$2:$A$20871,WORKING!A67,PERSALDATA!$D$2:$D$20871,WORKING!B67,PERSALDATA!$E$2:$E$20871,WORKING!C67,PERSALDATA!$F$2:$F$20871,"S&amp;W: BASIC SALARY (RES)")</f>
        <v>3</v>
      </c>
      <c r="AC67" s="2">
        <f>SUMIFS(PERSALDATA!$H$2:$H$20871,PERSALDATA!$A$2:$A$20871,WORKING!A67,PERSALDATA!$D$2:$D$20871,WORKING!B67,PERSALDATA!$E$2:$E$20871,WORKING!C67)</f>
        <v>3517209.6800000006</v>
      </c>
    </row>
    <row r="68" spans="1:29" x14ac:dyDescent="0.25">
      <c r="A68" s="2">
        <f>Results!$D$3</f>
        <v>12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0.60260916539685583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4.5814228051075649E-2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6.9382317056446527E-2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1.1968449692237025E-2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7.8339061048380523E-2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5.4775893851125844E-5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0.19183200286115329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1.3778916860361978E-2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1383637.85</v>
      </c>
    </row>
    <row r="69" spans="1:29" x14ac:dyDescent="0.25">
      <c r="A69" s="2">
        <f>Results!$D$3</f>
        <v>12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12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12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12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12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12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12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0.69945299543761696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5.45797286695641E-2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4.8585893605158186E-2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1.7861447774743733E-2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6.9181286366820582E-2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9.0928103376485048E-2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1.9071940183281625E-2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3.3860458632964955E-4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7.3276010095143451E-2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7.0551860359450741E-2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6.9551860359450726E-2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6.7551860359450724E-2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1.322841323162537E-2</v>
      </c>
      <c r="AB75" s="2">
        <f>SUMIFS(PERSALDATA!$G$2:$G$20871,PERSALDATA!$A$2:$A$20871,WORKING!A75,PERSALDATA!$D$2:$D$20871,WORKING!B75,PERSALDATA!$E$2:$E$20871,WORKING!C75,PERSALDATA!$F$2:$F$20871,"S&amp;W: BASIC SALARY (RES)")</f>
        <v>9</v>
      </c>
      <c r="AC75" s="2">
        <f>SUMIFS(PERSALDATA!$H$2:$H$20871,PERSALDATA!$A$2:$A$20871,WORKING!A75,PERSALDATA!$D$2:$D$20871,WORKING!B75,PERSALDATA!$E$2:$E$20871,WORKING!C75)</f>
        <v>1790643.2000000002</v>
      </c>
    </row>
    <row r="76" spans="1:29" x14ac:dyDescent="0.25">
      <c r="A76" s="2">
        <f>Results!$D$3</f>
        <v>12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0.71735632233686786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5.5236208074804068E-2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5.1314629192668548E-2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1.5414858745962181E-2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4.8882637649191756E-2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9.3689896177709731E-2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1.6307693391403581E-2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3.0242113114403957E-4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1.4953333002479443E-3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7.2784445108445867E-2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7.0220093272811174E-2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6.9220093272811173E-2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6.7220093272811157E-2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1.3492504680404929E-2</v>
      </c>
      <c r="AB76" s="2">
        <f>SUMIFS(PERSALDATA!$G$2:$G$20871,PERSALDATA!$A$2:$A$20871,WORKING!A76,PERSALDATA!$D$2:$D$20871,WORKING!B76,PERSALDATA!$E$2:$E$20871,WORKING!C76,PERSALDATA!$F$2:$F$20871,"S&amp;W: BASIC SALARY (RES)")</f>
        <v>14</v>
      </c>
      <c r="AC76" s="2">
        <f>SUMIFS(PERSALDATA!$H$2:$H$20871,PERSALDATA!$A$2:$A$20871,WORKING!A76,PERSALDATA!$D$2:$D$20871,WORKING!B76,PERSALDATA!$E$2:$E$20871,WORKING!C76)</f>
        <v>3759161.9200000009</v>
      </c>
    </row>
    <row r="77" spans="1:29" x14ac:dyDescent="0.25">
      <c r="A77" s="2">
        <f>Results!$D$3</f>
        <v>12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0.73613574309836138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6.4545451314319296E-2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3.6590320620400164E-2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5.6012949000117732E-2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9.5696928837333814E-2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1.0766921887436205E-2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2.516852420314329E-4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7.4003316918851245E-2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7.0474291028797778E-2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6.9474291028797763E-2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6.7474291028797775E-2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1.3607175677061758E-2</v>
      </c>
      <c r="AB77" s="2">
        <f>SUMIFS(PERSALDATA!$G$2:$G$20871,PERSALDATA!$A$2:$A$20871,WORKING!A77,PERSALDATA!$D$2:$D$20871,WORKING!B77,PERSALDATA!$E$2:$E$20871,WORKING!C77,PERSALDATA!$F$2:$F$20871,"S&amp;W: BASIC SALARY (RES)")</f>
        <v>8</v>
      </c>
      <c r="AC77" s="2">
        <f>SUMIFS(PERSALDATA!$H$2:$H$20871,PERSALDATA!$A$2:$A$20871,WORKING!A77,PERSALDATA!$D$2:$D$20871,WORKING!B77,PERSALDATA!$E$2:$E$20871,WORKING!C77)</f>
        <v>2385876.88</v>
      </c>
    </row>
    <row r="78" spans="1:29" x14ac:dyDescent="0.25">
      <c r="A78" s="2">
        <f>Results!$D$3</f>
        <v>12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0.75400060885621867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5.8987445762467054E-2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3.2563151931728651E-2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2.6099562910671401E-3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4.1742185338570999E-2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9.803708907217018E-2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1.1855504261752647E-2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2.0405848602434836E-4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7.4109591047928594E-2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7.0300501260761261E-2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6.930050126076126E-2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6.7300501260761258E-2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1.3882359063655134E-2</v>
      </c>
      <c r="AB78" s="2">
        <f>SUMIFS(PERSALDATA!$G$2:$G$20871,PERSALDATA!$A$2:$A$20871,WORKING!A78,PERSALDATA!$D$2:$D$20871,WORKING!B78,PERSALDATA!$E$2:$E$20871,WORKING!C78,PERSALDATA!$F$2:$F$20871,"S&amp;W: BASIC SALARY (RES)")</f>
        <v>15</v>
      </c>
      <c r="AC78" s="2">
        <f>SUMIFS(PERSALDATA!$H$2:$H$20871,PERSALDATA!$A$2:$A$20871,WORKING!A78,PERSALDATA!$D$2:$D$20871,WORKING!B78,PERSALDATA!$E$2:$E$20871,WORKING!C78)</f>
        <v>5085502.7900000019</v>
      </c>
    </row>
    <row r="79" spans="1:29" x14ac:dyDescent="0.25">
      <c r="A79" s="2">
        <f>Results!$D$3</f>
        <v>12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0.74908769978099088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6.3350804296666507E-2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2.945969536666012E-2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8.0472889455445208E-3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3.8157856334365435E-2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9.7449853676038506E-2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1.3856190957536391E-2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1.7119610544367929E-4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4.1941453675408162E-4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7.4295273140814952E-2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7.0277770891348887E-2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6.9277770891348886E-2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6.7277770891348898E-2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1.3983168782902962E-2</v>
      </c>
      <c r="AB79" s="2">
        <f>SUMIFS(PERSALDATA!$G$2:$G$20871,PERSALDATA!$A$2:$A$20871,WORKING!A79,PERSALDATA!$D$2:$D$20871,WORKING!B79,PERSALDATA!$E$2:$E$20871,WORKING!C79,PERSALDATA!$F$2:$F$20871,"S&amp;W: BASIC SALARY (RES)")</f>
        <v>63</v>
      </c>
      <c r="AC79" s="2">
        <f>SUMIFS(PERSALDATA!$H$2:$H$20871,PERSALDATA!$A$2:$A$20871,WORKING!A79,PERSALDATA!$D$2:$D$20871,WORKING!B79,PERSALDATA!$E$2:$E$20871,WORKING!C79)</f>
        <v>26222267.079999994</v>
      </c>
    </row>
    <row r="80" spans="1:29" x14ac:dyDescent="0.25">
      <c r="A80" s="2">
        <f>Results!$D$3</f>
        <v>12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0.75917057243256181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6.0512252811704192E-2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2.2538125112722268E-2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3.9822890905239208E-3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3.1002660970274223E-2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9.8691849818235491E-2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1.5588030406132327E-2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1.3234942353330974E-4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6.5856793546767737E-3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1.7961905796356485E-3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7.4721139745016943E-2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7.0239658663426893E-2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6.9239658663426892E-2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6.7239658663426891E-2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1.419490296740205E-2</v>
      </c>
      <c r="AB80" s="2">
        <f>SUMIFS(PERSALDATA!$G$2:$G$20871,PERSALDATA!$A$2:$A$20871,WORKING!A80,PERSALDATA!$D$2:$D$20871,WORKING!B80,PERSALDATA!$E$2:$E$20871,WORKING!C80,PERSALDATA!$F$2:$F$20871,"S&amp;W: BASIC SALARY (RES)")</f>
        <v>11</v>
      </c>
      <c r="AC80" s="2">
        <f>SUMIFS(PERSALDATA!$H$2:$H$20871,PERSALDATA!$A$2:$A$20871,WORKING!A80,PERSALDATA!$D$2:$D$20871,WORKING!B80,PERSALDATA!$E$2:$E$20871,WORKING!C80)</f>
        <v>6122958.29</v>
      </c>
    </row>
    <row r="81" spans="1:29" x14ac:dyDescent="0.25">
      <c r="A81" s="2">
        <f>Results!$D$3</f>
        <v>12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0.69098687807334969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5.0123757381581764E-2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1.5906829689273726E-2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7.3758460470043307E-4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1.9660887685774588E-2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8.9827961366228351E-2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2.004461177932371E-2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1.1390587909324663E-4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0.1125975835406743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1.4464775651187874E-2</v>
      </c>
      <c r="AB81" s="2">
        <f>SUMIFS(PERSALDATA!$G$2:$G$20871,PERSALDATA!$A$2:$A$20871,WORKING!A81,PERSALDATA!$D$2:$D$20871,WORKING!B81,PERSALDATA!$E$2:$E$20871,WORKING!C81,PERSALDATA!$F$2:$F$20871,"S&amp;W: BASIC SALARY (RES)")</f>
        <v>34</v>
      </c>
      <c r="AC81" s="2">
        <f>SUMIFS(PERSALDATA!$H$2:$H$20871,PERSALDATA!$A$2:$A$20871,WORKING!A81,PERSALDATA!$D$2:$D$20871,WORKING!B81,PERSALDATA!$E$2:$E$20871,WORKING!C81)</f>
        <v>19398208.569999997</v>
      </c>
    </row>
    <row r="82" spans="1:29" x14ac:dyDescent="0.25">
      <c r="A82" s="2">
        <f>Results!$D$3</f>
        <v>12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0.70067272566765526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3.9016803092651778E-2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4.434490197666216E-3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2.064792082640445E-3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1.6777494666263111E-2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9.1131760825612126E-2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2.0421918375170937E-2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9.2736268030829601E-5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0.12506218490200821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3.2509392230107816E-4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1.4680429183020597E-2</v>
      </c>
      <c r="AB82" s="2">
        <f>SUMIFS(PERSALDATA!$G$2:$G$20871,PERSALDATA!$A$2:$A$20871,WORKING!A82,PERSALDATA!$D$2:$D$20871,WORKING!B82,PERSALDATA!$E$2:$E$20871,WORKING!C82,PERSALDATA!$F$2:$F$20871,"S&amp;W: BASIC SALARY (RES)")</f>
        <v>24</v>
      </c>
      <c r="AC82" s="2">
        <f>SUMIFS(PERSALDATA!$H$2:$H$20871,PERSALDATA!$A$2:$A$20871,WORKING!A82,PERSALDATA!$D$2:$D$20871,WORKING!B82,PERSALDATA!$E$2:$E$20871,WORKING!C82)</f>
        <v>18230731.469999999</v>
      </c>
    </row>
    <row r="83" spans="1:29" x14ac:dyDescent="0.25">
      <c r="A83" s="2">
        <f>Results!$D$3</f>
        <v>12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0.62655756356960512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3.9686836571335413E-2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2.4688627361578206E-2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1.4394004404163422E-2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8.1452275074522323E-2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7.728505767527559E-3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7.476868204633655E-5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0.20074878828901627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4.6686302802052332E-3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1.4412638993283178E-2</v>
      </c>
      <c r="AB83" s="2">
        <f>SUMIFS(PERSALDATA!$G$2:$G$20871,PERSALDATA!$A$2:$A$20871,WORKING!A83,PERSALDATA!$D$2:$D$20871,WORKING!B83,PERSALDATA!$E$2:$E$20871,WORKING!C83,PERSALDATA!$F$2:$F$20871,"S&amp;W: BASIC SALARY (RES)")</f>
        <v>27</v>
      </c>
      <c r="AC83" s="2">
        <f>SUMIFS(PERSALDATA!$H$2:$H$20871,PERSALDATA!$A$2:$A$20871,WORKING!A83,PERSALDATA!$D$2:$D$20871,WORKING!B83,PERSALDATA!$E$2:$E$20871,WORKING!C83)</f>
        <v>24561754.330000002</v>
      </c>
    </row>
    <row r="84" spans="1:29" x14ac:dyDescent="0.25">
      <c r="A84" s="2">
        <f>Results!$D$3</f>
        <v>12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0.63779810645440826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1.0059654735910873E-2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1.6040695337372499E-2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1.4023945722248708E-2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6.6231212864893182E-2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6.2763257595222586E-5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0.25578362162757123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1.4548088935241751E-2</v>
      </c>
      <c r="AB84" s="2">
        <f>SUMIFS(PERSALDATA!$G$2:$G$20871,PERSALDATA!$A$2:$A$20871,WORKING!A84,PERSALDATA!$D$2:$D$20871,WORKING!B84,PERSALDATA!$E$2:$E$20871,WORKING!C84,PERSALDATA!$F$2:$F$20871,"S&amp;W: BASIC SALARY (RES)")</f>
        <v>5</v>
      </c>
      <c r="AC84" s="2">
        <f>SUMIFS(PERSALDATA!$H$2:$H$20871,PERSALDATA!$A$2:$A$20871,WORKING!A84,PERSALDATA!$D$2:$D$20871,WORKING!B84,PERSALDATA!$E$2:$E$20871,WORKING!C84)</f>
        <v>5573324.4799999995</v>
      </c>
    </row>
    <row r="85" spans="1:29" x14ac:dyDescent="0.25">
      <c r="A85" s="2">
        <f>Results!$D$3</f>
        <v>12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0.59996976538222246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4.3356770812407706E-2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1.7398105277089137E-2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7.7995980056693309E-2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5.0463161077328187E-5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0.26122891531051012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1.4087919911241389E-2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1386357.8599999999</v>
      </c>
    </row>
    <row r="86" spans="1:29" x14ac:dyDescent="0.25">
      <c r="A86" s="2">
        <f>Results!$D$3</f>
        <v>12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12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12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0.72102997378933364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4.5343687010061443E-4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1.3187808311880731E-3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0.26754171417677419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9.6560943326033967E-3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0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7.5965538797872337E-2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6.9995465631298992E-2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6.8995465631298991E-2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6.6995465631298989E-2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1.4973416734480669E-2</v>
      </c>
      <c r="AB88" s="2">
        <f>SUMIFS(PERSALDATA!$G$2:$G$20871,PERSALDATA!$A$2:$A$20871,WORKING!A88,PERSALDATA!$D$2:$D$20871,WORKING!B88,PERSALDATA!$E$2:$E$20871,WORKING!C88,PERSALDATA!$F$2:$F$20871,"S&amp;W: BASIC SALARY (RES)")</f>
        <v>12</v>
      </c>
      <c r="AC88" s="2">
        <f>SUMIFS(PERSALDATA!$H$2:$H$20871,PERSALDATA!$A$2:$A$20871,WORKING!A88,PERSALDATA!$D$2:$D$20871,WORKING!B88,PERSALDATA!$E$2:$E$20871,WORKING!C88)</f>
        <v>1984840.8000000007</v>
      </c>
    </row>
    <row r="89" spans="1:29" x14ac:dyDescent="0.25">
      <c r="A89" s="2">
        <f>Results!$D$3</f>
        <v>12</v>
      </c>
      <c r="B89" s="2">
        <v>6</v>
      </c>
      <c r="C89" s="2">
        <v>2</v>
      </c>
      <c r="D89" s="62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>0.66868130495991218</v>
      </c>
      <c r="E89" s="62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>5.5276871532371284E-2</v>
      </c>
      <c r="F89" s="62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>0.10471700419757199</v>
      </c>
      <c r="G89" s="69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>0</v>
      </c>
      <c r="H89" s="62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>7.5157097457602226E-2</v>
      </c>
      <c r="I89" s="62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>8.6805667158536687E-2</v>
      </c>
      <c r="J89" s="62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>8.0329175516907578E-3</v>
      </c>
      <c r="K89" s="62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>5.9842351533703113E-4</v>
      </c>
      <c r="L89" s="62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>0</v>
      </c>
      <c r="M89" s="62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>7.3071362697782753E-4</v>
      </c>
      <c r="N89" s="62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>0</v>
      </c>
      <c r="O89" s="62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>0</v>
      </c>
      <c r="P89" s="62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>0</v>
      </c>
      <c r="Q89" s="62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>0</v>
      </c>
      <c r="R89" s="62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>0</v>
      </c>
      <c r="S89" s="62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>0</v>
      </c>
      <c r="T89" s="62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>0</v>
      </c>
      <c r="U89" s="62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>0</v>
      </c>
      <c r="V89" s="62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>0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6.9093707045390959E-2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7.0080186419888321E-2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6.908018641988832E-2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6.7080186419888319E-2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1.2292912122442332E-2</v>
      </c>
      <c r="AB89" s="2">
        <f>SUMIFS(PERSALDATA!$G$2:$G$20871,PERSALDATA!$A$2:$A$20871,WORKING!A89,PERSALDATA!$D$2:$D$20871,WORKING!B89,PERSALDATA!$E$2:$E$20871,WORKING!C89,PERSALDATA!$F$2:$F$20871,"S&amp;W: BASIC SALARY (RES)")</f>
        <v>85</v>
      </c>
      <c r="AC89" s="2">
        <f>SUMIFS(PERSALDATA!$H$2:$H$20871,PERSALDATA!$A$2:$A$20871,WORKING!A89,PERSALDATA!$D$2:$D$20871,WORKING!B89,PERSALDATA!$E$2:$E$20871,WORKING!C89)</f>
        <v>9703295.1600000001</v>
      </c>
    </row>
    <row r="90" spans="1:29" x14ac:dyDescent="0.25">
      <c r="A90" s="2">
        <f>Results!$D$3</f>
        <v>12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12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0.69183419476452612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5.3769100288656897E-2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6.7433164709090249E-2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1.6217737193301338E-3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7.8868934610542715E-2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8.9969128824368721E-2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1.5253313650341807E-2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4.3384954866496246E-4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5.9116102324476775E-4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2.2537886123354765E-4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7.1979244566656733E-2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7.0508702372067245E-2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6.950870237206723E-2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6.7508702372067214E-2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1.2798960766975532E-2</v>
      </c>
      <c r="AB91" s="2">
        <f>SUMIFS(PERSALDATA!$G$2:$G$20871,PERSALDATA!$A$2:$A$20871,WORKING!A91,PERSALDATA!$D$2:$D$20871,WORKING!B91,PERSALDATA!$E$2:$E$20871,WORKING!C91,PERSALDATA!$F$2:$F$20871,"S&amp;W: BASIC SALARY (RES)")</f>
        <v>63</v>
      </c>
      <c r="AC91" s="2">
        <f>SUMIFS(PERSALDATA!$H$2:$H$20871,PERSALDATA!$A$2:$A$20871,WORKING!A91,PERSALDATA!$D$2:$D$20871,WORKING!B91,PERSALDATA!$E$2:$E$20871,WORKING!C91)</f>
        <v>9823059.6600000001</v>
      </c>
    </row>
    <row r="92" spans="1:29" x14ac:dyDescent="0.25">
      <c r="A92" s="2">
        <f>Results!$D$3</f>
        <v>12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0.74023473442980336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3.8624197215163719E-2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3.8869601629249316E-2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1.2795103126782561E-2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6.2798525985295228E-2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9.5533027711222213E-2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4.0072991957109706E-3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3.8783573030661282E-4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1.9827850504934765E-3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4.766889925972741E-3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7.39250896399712E-2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7.0553281873486959E-2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6.9553281873486958E-2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6.7553281873486956E-2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1.3469160549827235E-2</v>
      </c>
      <c r="AB92" s="2">
        <f>SUMIFS(PERSALDATA!$G$2:$G$20871,PERSALDATA!$A$2:$A$20871,WORKING!A92,PERSALDATA!$D$2:$D$20871,WORKING!B92,PERSALDATA!$E$2:$E$20871,WORKING!C92,PERSALDATA!$F$2:$F$20871,"S&amp;W: BASIC SALARY (RES)")</f>
        <v>20</v>
      </c>
      <c r="AC92" s="2">
        <f>SUMIFS(PERSALDATA!$H$2:$H$20871,PERSALDATA!$A$2:$A$20871,WORKING!A92,PERSALDATA!$D$2:$D$20871,WORKING!B92,PERSALDATA!$E$2:$E$20871,WORKING!C92)</f>
        <v>2871138.2499999991</v>
      </c>
    </row>
    <row r="93" spans="1:29" x14ac:dyDescent="0.25">
      <c r="A93" s="2">
        <f>Results!$D$3</f>
        <v>12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0.71467097310899019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5.9806421213151821E-2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4.8533791578885523E-2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5.678973707049853E-4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6.3944685362229414E-2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9.2725926657982544E-2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1.5088274780781853E-2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2.9527637257165373E-4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3.3915715055902614E-3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7.2377049228237046E-4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1.5154572402042955E-4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9.9865832809033493E-5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7.3206657435075928E-2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7.0473832364644592E-2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6.9473832364644578E-2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6.747383236464459E-2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1.3308393700294702E-2</v>
      </c>
      <c r="AB93" s="2">
        <f>SUMIFS(PERSALDATA!$G$2:$G$20871,PERSALDATA!$A$2:$A$20871,WORKING!A93,PERSALDATA!$D$2:$D$20871,WORKING!B93,PERSALDATA!$E$2:$E$20871,WORKING!C93,PERSALDATA!$F$2:$F$20871,"S&amp;W: BASIC SALARY (RES)")</f>
        <v>549</v>
      </c>
      <c r="AC93" s="2">
        <f>SUMIFS(PERSALDATA!$H$2:$H$20871,PERSALDATA!$A$2:$A$20871,WORKING!A93,PERSALDATA!$D$2:$D$20871,WORKING!B93,PERSALDATA!$E$2:$E$20871,WORKING!C93)</f>
        <v>130746018.25999999</v>
      </c>
    </row>
    <row r="94" spans="1:29" x14ac:dyDescent="0.25">
      <c r="A94" s="2">
        <f>Results!$D$3</f>
        <v>12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0.74081407600555504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5.772514728642298E-2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4.1834445755272176E-2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1.3864022612546083E-3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4.6075343828219414E-2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9.6193724613196391E-2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1.3972151096370454E-2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2.4693985411649764E-4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4.8074482273316151E-4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1.2710244768591287E-3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7.3465636936194387E-2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7.0272785699870569E-2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6.9272785699870568E-2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6.7272785699870566E-2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1.3677649058435876E-2</v>
      </c>
      <c r="AB94" s="2">
        <f>SUMIFS(PERSALDATA!$G$2:$G$20871,PERSALDATA!$A$2:$A$20871,WORKING!A94,PERSALDATA!$D$2:$D$20871,WORKING!B94,PERSALDATA!$E$2:$E$20871,WORKING!C94,PERSALDATA!$F$2:$F$20871,"S&amp;W: BASIC SALARY (RES)")</f>
        <v>49</v>
      </c>
      <c r="AC94" s="2">
        <f>SUMIFS(PERSALDATA!$H$2:$H$20871,PERSALDATA!$A$2:$A$20871,WORKING!A94,PERSALDATA!$D$2:$D$20871,WORKING!B94,PERSALDATA!$E$2:$E$20871,WORKING!C94)</f>
        <v>13976520.770000001</v>
      </c>
    </row>
    <row r="95" spans="1:29" x14ac:dyDescent="0.25">
      <c r="A95" s="2">
        <f>Results!$D$3</f>
        <v>12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0.75262496406686663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6.1586626107869386E-2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3.5968295938232545E-2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9.3498776480547999E-4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3.7759544432795368E-2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9.7971362120086794E-2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1.2950349269727353E-2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2.0387029961656529E-4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7.3795043130753468E-2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7.0206710207109613E-2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6.9206710207109626E-2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6.7206710207109624E-2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1.3891024339940335E-2</v>
      </c>
      <c r="AB95" s="2">
        <f>SUMIFS(PERSALDATA!$G$2:$G$20871,PERSALDATA!$A$2:$A$20871,WORKING!A95,PERSALDATA!$D$2:$D$20871,WORKING!B95,PERSALDATA!$E$2:$E$20871,WORKING!C95,PERSALDATA!$F$2:$F$20871,"S&amp;W: BASIC SALARY (RES)")</f>
        <v>50</v>
      </c>
      <c r="AC95" s="2">
        <f>SUMIFS(PERSALDATA!$H$2:$H$20871,PERSALDATA!$A$2:$A$20871,WORKING!A95,PERSALDATA!$D$2:$D$20871,WORKING!B95,PERSALDATA!$E$2:$E$20871,WORKING!C95)</f>
        <v>16814808.27</v>
      </c>
    </row>
    <row r="96" spans="1:29" x14ac:dyDescent="0.25">
      <c r="A96" s="2">
        <f>Results!$D$3</f>
        <v>12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0.75194449667158769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6.2681485886983093E-2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2.7004205718126242E-2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6.6291435543349157E-4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3.7607066056627843E-2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9.7767610690580153E-2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1.6093890938346463E-2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1.6712083665672246E-4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4.8541838743918079E-3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4.1339589538902307E-5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5.5906002054824041E-4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2.1209059084004384E-4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4.0453477033923783E-4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7.4474179290215187E-2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7.0294063933668161E-2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6.9294063933668174E-2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6.7294063933668158E-2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1.4028324110828837E-2</v>
      </c>
      <c r="AB96" s="2">
        <f>SUMIFS(PERSALDATA!$G$2:$G$20871,PERSALDATA!$A$2:$A$20871,WORKING!A96,PERSALDATA!$D$2:$D$20871,WORKING!B96,PERSALDATA!$E$2:$E$20871,WORKING!C96,PERSALDATA!$F$2:$F$20871,"S&amp;W: BASIC SALARY (RES)")</f>
        <v>262</v>
      </c>
      <c r="AC96" s="2">
        <f>SUMIFS(PERSALDATA!$H$2:$H$20871,PERSALDATA!$A$2:$A$20871,WORKING!A96,PERSALDATA!$D$2:$D$20871,WORKING!B96,PERSALDATA!$E$2:$E$20871,WORKING!C96)</f>
        <v>109782899.41</v>
      </c>
    </row>
    <row r="97" spans="1:29" x14ac:dyDescent="0.25">
      <c r="A97" s="2">
        <f>Results!$D$3</f>
        <v>12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0.76411336772480143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6.4932584916680067E-2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2.053296360277845E-2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3.6586537415333742E-2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9.9334439275320735E-2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1.4378418917435852E-2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1.2168814764965791E-4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0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0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7.49517062900035E-2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7.0343468425202227E-2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6.9343468425202212E-2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6.7343468425202224E-2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1.4141382162513571E-2</v>
      </c>
      <c r="AB97" s="2">
        <f>SUMIFS(PERSALDATA!$G$2:$G$20871,PERSALDATA!$A$2:$A$20871,WORKING!A97,PERSALDATA!$D$2:$D$20871,WORKING!B97,PERSALDATA!$E$2:$E$20871,WORKING!C97,PERSALDATA!$F$2:$F$20871,"S&amp;W: BASIC SALARY (RES)")</f>
        <v>3</v>
      </c>
      <c r="AC97" s="2">
        <f>SUMIFS(PERSALDATA!$H$2:$H$20871,PERSALDATA!$A$2:$A$20871,WORKING!A97,PERSALDATA!$D$2:$D$20871,WORKING!B97,PERSALDATA!$E$2:$E$20871,WORKING!C97)</f>
        <v>2060102.03</v>
      </c>
    </row>
    <row r="98" spans="1:29" x14ac:dyDescent="0.25">
      <c r="A98" s="2">
        <f>Results!$D$3</f>
        <v>12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0.69874826182255068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4.4990727031760019E-2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1.7262672376761688E-2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1.4293624197361963E-3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1.5713861514109976E-2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9.0836944131948497E-2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1.9926702293972726E-2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1.1491888486182774E-4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0.11097654952429856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1.4503628208363999E-2</v>
      </c>
      <c r="AB98" s="2">
        <f>SUMIFS(PERSALDATA!$G$2:$G$20871,PERSALDATA!$A$2:$A$20871,WORKING!A98,PERSALDATA!$D$2:$D$20871,WORKING!B98,PERSALDATA!$E$2:$E$20871,WORKING!C98,PERSALDATA!$F$2:$F$20871,"S&amp;W: BASIC SALARY (RES)")</f>
        <v>40</v>
      </c>
      <c r="AC98" s="2">
        <f>SUMIFS(PERSALDATA!$H$2:$H$20871,PERSALDATA!$A$2:$A$20871,WORKING!A98,PERSALDATA!$D$2:$D$20871,WORKING!B98,PERSALDATA!$E$2:$E$20871,WORKING!C98)</f>
        <v>23792608.179999989</v>
      </c>
    </row>
    <row r="99" spans="1:29" x14ac:dyDescent="0.25">
      <c r="A99" s="2">
        <f>Results!$D$3</f>
        <v>12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0.69273634808362317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5.165525800609775E-2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1.441205801788956E-2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9.844532429193556E-5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1.7786798390504139E-2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9.0055465822557218E-2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2.0510838533485724E-2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9.435451282221156E-5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0.11180536056727293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4.9158242842867671E-4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3.5349031302656016E-4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1.4515601836181757E-2</v>
      </c>
      <c r="AB99" s="2">
        <f>SUMIFS(PERSALDATA!$G$2:$G$20871,PERSALDATA!$A$2:$A$20871,WORKING!A99,PERSALDATA!$D$2:$D$20871,WORKING!B99,PERSALDATA!$E$2:$E$20871,WORKING!C99,PERSALDATA!$F$2:$F$20871,"S&amp;W: BASIC SALARY (RES)")</f>
        <v>101</v>
      </c>
      <c r="AC99" s="2">
        <f>SUMIFS(PERSALDATA!$H$2:$H$20871,PERSALDATA!$A$2:$A$20871,WORKING!A99,PERSALDATA!$D$2:$D$20871,WORKING!B99,PERSALDATA!$E$2:$E$20871,WORKING!C99)</f>
        <v>75381132.150000006</v>
      </c>
    </row>
    <row r="100" spans="1:29" x14ac:dyDescent="0.25">
      <c r="A100" s="2">
        <f>Results!$D$3</f>
        <v>12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0.63275167869963089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4.3579976494643541E-2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4.1700022390118066E-2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2.0789143113636291E-2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8.2301468811134024E-2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1.1627796060157665E-2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7.4872607654879035E-5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0.16599671124671486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3.7991145453061624E-4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7.9841912177917363E-4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1.4061539428328862E-2</v>
      </c>
      <c r="AB100" s="2">
        <f>SUMIFS(PERSALDATA!$G$2:$G$20871,PERSALDATA!$A$2:$A$20871,WORKING!A100,PERSALDATA!$D$2:$D$20871,WORKING!B100,PERSALDATA!$E$2:$E$20871,WORKING!C100,PERSALDATA!$F$2:$F$20871,"S&amp;W: BASIC SALARY (RES)")</f>
        <v>32</v>
      </c>
      <c r="AC100" s="2">
        <f>SUMIFS(PERSALDATA!$H$2:$H$20871,PERSALDATA!$A$2:$A$20871,WORKING!A100,PERSALDATA!$D$2:$D$20871,WORKING!B100,PERSALDATA!$E$2:$E$20871,WORKING!C100)</f>
        <v>29666123.159999996</v>
      </c>
    </row>
    <row r="101" spans="1:29" x14ac:dyDescent="0.25">
      <c r="A101" s="2">
        <f>Results!$D$3</f>
        <v>12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0.60463461455789902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3.9277707765244259E-2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4.2353564216318286E-2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1.2036495509729218E-2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7.8602361426908615E-2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1.2557883707034787E-2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6.2333173534839602E-5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0.20545023797896578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4.4160546360231343E-3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6.0874702834195951E-4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1.4183214106506263E-2</v>
      </c>
      <c r="AB101" s="2">
        <f>SUMIFS(PERSALDATA!$G$2:$G$20871,PERSALDATA!$A$2:$A$20871,WORKING!A101,PERSALDATA!$D$2:$D$20871,WORKING!B101,PERSALDATA!$E$2:$E$20871,WORKING!C101,PERSALDATA!$F$2:$F$20871,"S&amp;W: BASIC SALARY (RES)")</f>
        <v>13</v>
      </c>
      <c r="AC101" s="2">
        <f>SUMIFS(PERSALDATA!$H$2:$H$20871,PERSALDATA!$A$2:$A$20871,WORKING!A101,PERSALDATA!$D$2:$D$20871,WORKING!B101,PERSALDATA!$E$2:$E$20871,WORKING!C101)</f>
        <v>14590625.639999999</v>
      </c>
    </row>
    <row r="102" spans="1:29" x14ac:dyDescent="0.25">
      <c r="A102" s="2">
        <f>Results!$D$3</f>
        <v>12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0.5783664220319672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4.8197201835997266E-2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1.6771644972534628E-2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7.5187548641768659E-2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3.6007386699715628E-2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4.8646114522326804E-5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0.24542114970349449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1.4747695633694147E-2</v>
      </c>
      <c r="AB102" s="2">
        <f>SUMIFS(PERSALDATA!$G$2:$G$20871,PERSALDATA!$A$2:$A$20871,WORKING!A102,PERSALDATA!$D$2:$D$20871,WORKING!B102,PERSALDATA!$E$2:$E$20871,WORKING!C102,PERSALDATA!$F$2:$F$20871,"S&amp;W: BASIC SALARY (RES)")</f>
        <v>1</v>
      </c>
      <c r="AC102" s="2">
        <f>SUMIFS(PERSALDATA!$H$2:$H$20871,PERSALDATA!$A$2:$A$20871,WORKING!A102,PERSALDATA!$D$2:$D$20871,WORKING!B102,PERSALDATA!$E$2:$E$20871,WORKING!C102)</f>
        <v>1438141.5799999996</v>
      </c>
    </row>
    <row r="103" spans="1:29" x14ac:dyDescent="0.25">
      <c r="A103" s="2">
        <f>Results!$D$3</f>
        <v>12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12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12</v>
      </c>
      <c r="B105" s="2">
        <v>7</v>
      </c>
      <c r="C105" s="2">
        <v>1</v>
      </c>
      <c r="D105" s="62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>0.47022624574067678</v>
      </c>
      <c r="E105" s="62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>0</v>
      </c>
      <c r="F105" s="62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>0</v>
      </c>
      <c r="G105" s="69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>0</v>
      </c>
      <c r="H105" s="62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>0</v>
      </c>
      <c r="I105" s="62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>0</v>
      </c>
      <c r="J105" s="62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>2.2746911344106123E-4</v>
      </c>
      <c r="K105" s="62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>6.7258415881422018E-4</v>
      </c>
      <c r="L105" s="62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>0</v>
      </c>
      <c r="M105" s="62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>0.17372920089728619</v>
      </c>
      <c r="N105" s="62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>0</v>
      </c>
      <c r="O105" s="62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>7.3738721815803975E-3</v>
      </c>
      <c r="P105" s="62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>0</v>
      </c>
      <c r="Q105" s="62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>0.34777062790820151</v>
      </c>
      <c r="R105" s="62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>0</v>
      </c>
      <c r="S105" s="62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>0</v>
      </c>
      <c r="T105" s="62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>0</v>
      </c>
      <c r="U105" s="62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>0</v>
      </c>
      <c r="V105" s="62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>0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7.6000000000000012E-2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7.0000000000000021E-2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6.9000000000000006E-2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6.7000000000000004E-2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1.4989911237617788E-2</v>
      </c>
      <c r="AB105" s="2">
        <f>SUMIFS(PERSALDATA!$G$2:$G$20871,PERSALDATA!$A$2:$A$20871,WORKING!A105,PERSALDATA!$D$2:$D$20871,WORKING!B105,PERSALDATA!$E$2:$E$20871,WORKING!C105,PERSALDATA!$F$2:$F$20871,"S&amp;W: BASIC SALARY (RES)")</f>
        <v>876</v>
      </c>
      <c r="AC105" s="2">
        <f>SUMIFS(PERSALDATA!$H$2:$H$20871,PERSALDATA!$A$2:$A$20871,WORKING!A105,PERSALDATA!$D$2:$D$20871,WORKING!B105,PERSALDATA!$E$2:$E$20871,WORKING!C105)</f>
        <v>20508630.510000002</v>
      </c>
    </row>
    <row r="106" spans="1:29" x14ac:dyDescent="0.25">
      <c r="A106" s="2">
        <f>Results!$D$3</f>
        <v>12</v>
      </c>
      <c r="B106" s="2">
        <v>7</v>
      </c>
      <c r="C106" s="2">
        <v>2</v>
      </c>
      <c r="D106" s="62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>0.80498158314692625</v>
      </c>
      <c r="E106" s="62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>6.7081798595577183E-2</v>
      </c>
      <c r="F106" s="62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>0</v>
      </c>
      <c r="G106" s="69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>0</v>
      </c>
      <c r="H106" s="62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>0</v>
      </c>
      <c r="I106" s="62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>0.10464616385427108</v>
      </c>
      <c r="J106" s="62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>2.2569888975657947E-2</v>
      </c>
      <c r="K106" s="62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>7.2056542756741599E-4</v>
      </c>
      <c r="L106" s="62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>0</v>
      </c>
      <c r="M106" s="62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>0</v>
      </c>
      <c r="N106" s="62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>0</v>
      </c>
      <c r="O106" s="62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>0</v>
      </c>
      <c r="P106" s="62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>0</v>
      </c>
      <c r="Q106" s="62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>0</v>
      </c>
      <c r="R106" s="62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>0</v>
      </c>
      <c r="S106" s="62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>0</v>
      </c>
      <c r="T106" s="62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>0</v>
      </c>
      <c r="U106" s="62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>0</v>
      </c>
      <c r="V106" s="62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>0</v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7.5999999999999998E-2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6.9999999999999993E-2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6.9000000000000006E-2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6.699999999999999E-2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1.4989191518586485E-2</v>
      </c>
      <c r="AB106" s="2">
        <f>SUMIFS(PERSALDATA!$G$2:$G$20871,PERSALDATA!$A$2:$A$20871,WORKING!A106,PERSALDATA!$D$2:$D$20871,WORKING!B106,PERSALDATA!$E$2:$E$20871,WORKING!C106,PERSALDATA!$F$2:$F$20871,"S&amp;W: BASIC SALARY (RES)")</f>
        <v>1</v>
      </c>
      <c r="AC106" s="2">
        <f>SUMIFS(PERSALDATA!$H$2:$H$20871,PERSALDATA!$A$2:$A$20871,WORKING!A106,PERSALDATA!$D$2:$D$20871,WORKING!B106,PERSALDATA!$E$2:$E$20871,WORKING!C106)</f>
        <v>97090.420000000013</v>
      </c>
    </row>
    <row r="107" spans="1:29" x14ac:dyDescent="0.25">
      <c r="A107" s="2">
        <f>Results!$D$3</f>
        <v>12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12</v>
      </c>
      <c r="B108" s="2">
        <v>7</v>
      </c>
      <c r="C108" s="2">
        <v>4</v>
      </c>
      <c r="D108" s="62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>0.69887519013010868</v>
      </c>
      <c r="E108" s="62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>4.4129378892578411E-2</v>
      </c>
      <c r="F108" s="62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>5.9738319609745051E-2</v>
      </c>
      <c r="G108" s="69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>0</v>
      </c>
      <c r="H108" s="62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>5.3086208811534898E-2</v>
      </c>
      <c r="I108" s="62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>6.873353693037669E-2</v>
      </c>
      <c r="J108" s="62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>1.2052611611831316E-2</v>
      </c>
      <c r="K108" s="62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>4.2996839916643659E-4</v>
      </c>
      <c r="L108" s="62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>0</v>
      </c>
      <c r="M108" s="62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>6.2954785614658615E-2</v>
      </c>
      <c r="N108" s="62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>0</v>
      </c>
      <c r="O108" s="62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>0</v>
      </c>
      <c r="P108" s="62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>0</v>
      </c>
      <c r="Q108" s="62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>0</v>
      </c>
      <c r="R108" s="62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>0</v>
      </c>
      <c r="S108" s="62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>0</v>
      </c>
      <c r="T108" s="62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>0</v>
      </c>
      <c r="U108" s="62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>0</v>
      </c>
      <c r="V108" s="62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>0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7.2203094633020881E-2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7.0198909936075582E-2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6.9198909936075595E-2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6.7198909936075579E-2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1.3301182547693304E-2</v>
      </c>
      <c r="AB108" s="2">
        <f>SUMIFS(PERSALDATA!$G$2:$G$20871,PERSALDATA!$A$2:$A$20871,WORKING!A108,PERSALDATA!$D$2:$D$20871,WORKING!B108,PERSALDATA!$E$2:$E$20871,WORKING!C108,PERSALDATA!$F$2:$F$20871,"S&amp;W: BASIC SALARY (RES)")</f>
        <v>15</v>
      </c>
      <c r="AC108" s="2">
        <f>SUMIFS(PERSALDATA!$H$2:$H$20871,PERSALDATA!$A$2:$A$20871,WORKING!A108,PERSALDATA!$D$2:$D$20871,WORKING!B108,PERSALDATA!$E$2:$E$20871,WORKING!C108)</f>
        <v>1084730.8799999999</v>
      </c>
    </row>
    <row r="109" spans="1:29" x14ac:dyDescent="0.25">
      <c r="A109" s="2">
        <f>Results!$D$3</f>
        <v>12</v>
      </c>
      <c r="B109" s="2">
        <v>7</v>
      </c>
      <c r="C109" s="2">
        <v>5</v>
      </c>
      <c r="D109" s="62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>0.69605558725362504</v>
      </c>
      <c r="E109" s="62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>5.7583871077268756E-2</v>
      </c>
      <c r="F109" s="62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>7.0872779777287023E-2</v>
      </c>
      <c r="G109" s="69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>0</v>
      </c>
      <c r="H109" s="62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>7.7858014076725282E-2</v>
      </c>
      <c r="I109" s="62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>9.0612043282846583E-2</v>
      </c>
      <c r="J109" s="62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>5.6840363119049619E-3</v>
      </c>
      <c r="K109" s="62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>3.6727849431251851E-4</v>
      </c>
      <c r="L109" s="62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>0</v>
      </c>
      <c r="M109" s="62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>9.6638972602985159E-4</v>
      </c>
      <c r="N109" s="62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>0</v>
      </c>
      <c r="O109" s="62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>0</v>
      </c>
      <c r="P109" s="62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>0</v>
      </c>
      <c r="Q109" s="62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>0</v>
      </c>
      <c r="R109" s="62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>0</v>
      </c>
      <c r="S109" s="62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>0</v>
      </c>
      <c r="T109" s="62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>0</v>
      </c>
      <c r="U109" s="62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>0</v>
      </c>
      <c r="V109" s="62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>0</v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7.1703680934000327E-2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7.0459142413378015E-2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6.9459142413378014E-2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6.7459142413378012E-2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1.2763528914775129E-2</v>
      </c>
      <c r="AB109" s="2">
        <f>SUMIFS(PERSALDATA!$G$2:$G$20871,PERSALDATA!$A$2:$A$20871,WORKING!A109,PERSALDATA!$D$2:$D$20871,WORKING!B109,PERSALDATA!$E$2:$E$20871,WORKING!C109,PERSALDATA!$F$2:$F$20871,"S&amp;W: BASIC SALARY (RES)")</f>
        <v>4</v>
      </c>
      <c r="AC109" s="2">
        <f>SUMIFS(PERSALDATA!$H$2:$H$20871,PERSALDATA!$A$2:$A$20871,WORKING!A109,PERSALDATA!$D$2:$D$20871,WORKING!B109,PERSALDATA!$E$2:$E$20871,WORKING!C109)</f>
        <v>761928.62999999989</v>
      </c>
    </row>
    <row r="110" spans="1:29" x14ac:dyDescent="0.25">
      <c r="A110" s="2">
        <f>Results!$D$3</f>
        <v>12</v>
      </c>
      <c r="B110" s="2">
        <v>7</v>
      </c>
      <c r="C110" s="2">
        <v>6</v>
      </c>
      <c r="D110" s="62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>0.71332491157126099</v>
      </c>
      <c r="E110" s="62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>5.9333474018742262E-2</v>
      </c>
      <c r="F110" s="62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>4.796814165316482E-2</v>
      </c>
      <c r="G110" s="69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>0</v>
      </c>
      <c r="H110" s="62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>7.2636777653252688E-2</v>
      </c>
      <c r="I110" s="62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>9.2686804089624722E-2</v>
      </c>
      <c r="J110" s="62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>1.3059483211789813E-2</v>
      </c>
      <c r="K110" s="62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>2.8809779017676529E-4</v>
      </c>
      <c r="L110" s="62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>0</v>
      </c>
      <c r="M110" s="62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>5.1000314711242703E-4</v>
      </c>
      <c r="N110" s="62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>0</v>
      </c>
      <c r="O110" s="62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>1.9230686487544535E-4</v>
      </c>
      <c r="P110" s="62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>0</v>
      </c>
      <c r="Q110" s="62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>0</v>
      </c>
      <c r="R110" s="62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>0</v>
      </c>
      <c r="S110" s="62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>0</v>
      </c>
      <c r="T110" s="62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>0</v>
      </c>
      <c r="U110" s="62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>0</v>
      </c>
      <c r="V110" s="62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>0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7.337133612150501E-2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7.0609870248267162E-2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6.9609870248267147E-2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6.7609870248267118E-2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1.3186604743551083E-2</v>
      </c>
      <c r="AB110" s="2">
        <f>SUMIFS(PERSALDATA!$G$2:$G$20871,PERSALDATA!$A$2:$A$20871,WORKING!A110,PERSALDATA!$D$2:$D$20871,WORKING!B110,PERSALDATA!$E$2:$E$20871,WORKING!C110,PERSALDATA!$F$2:$F$20871,"S&amp;W: BASIC SALARY (RES)")</f>
        <v>163</v>
      </c>
      <c r="AC110" s="2">
        <f>SUMIFS(PERSALDATA!$H$2:$H$20871,PERSALDATA!$A$2:$A$20871,WORKING!A110,PERSALDATA!$D$2:$D$20871,WORKING!B110,PERSALDATA!$E$2:$E$20871,WORKING!C110)</f>
        <v>39419913.610000007</v>
      </c>
    </row>
    <row r="111" spans="1:29" x14ac:dyDescent="0.25">
      <c r="A111" s="2">
        <f>Results!$D$3</f>
        <v>12</v>
      </c>
      <c r="B111" s="2">
        <v>7</v>
      </c>
      <c r="C111" s="2">
        <v>7</v>
      </c>
      <c r="D111" s="62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>0.72809571009949225</v>
      </c>
      <c r="E111" s="62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>6.1107822114457838E-2</v>
      </c>
      <c r="F111" s="62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>4.4182045679551842E-2</v>
      </c>
      <c r="G111" s="69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>0</v>
      </c>
      <c r="H111" s="62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>5.9629291388003304E-2</v>
      </c>
      <c r="I111" s="62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>9.4687264286326206E-2</v>
      </c>
      <c r="J111" s="62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>1.204309664509432E-2</v>
      </c>
      <c r="K111" s="62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>2.5476978707426282E-4</v>
      </c>
      <c r="L111" s="62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>0</v>
      </c>
      <c r="M111" s="62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>0</v>
      </c>
      <c r="N111" s="62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>0</v>
      </c>
      <c r="O111" s="62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>0</v>
      </c>
      <c r="P111" s="62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>0</v>
      </c>
      <c r="Q111" s="62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>0</v>
      </c>
      <c r="R111" s="62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>0</v>
      </c>
      <c r="S111" s="62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>0</v>
      </c>
      <c r="T111" s="62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>0</v>
      </c>
      <c r="U111" s="62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>0</v>
      </c>
      <c r="V111" s="62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>0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7.34769746077861E-2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7.0452618914024545E-2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6.9452618914024544E-2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6.7452618914024515E-2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1.3439008397180558E-2</v>
      </c>
      <c r="AB111" s="2">
        <f>SUMIFS(PERSALDATA!$G$2:$G$20871,PERSALDATA!$A$2:$A$20871,WORKING!A111,PERSALDATA!$D$2:$D$20871,WORKING!B111,PERSALDATA!$E$2:$E$20871,WORKING!C111,PERSALDATA!$F$2:$F$20871,"S&amp;W: BASIC SALARY (RES)")</f>
        <v>22</v>
      </c>
      <c r="AC111" s="2">
        <f>SUMIFS(PERSALDATA!$H$2:$H$20871,PERSALDATA!$A$2:$A$20871,WORKING!A111,PERSALDATA!$D$2:$D$20871,WORKING!B111,PERSALDATA!$E$2:$E$20871,WORKING!C111)</f>
        <v>5995648.1399999997</v>
      </c>
    </row>
    <row r="112" spans="1:29" x14ac:dyDescent="0.25">
      <c r="A112" s="2">
        <f>Results!$D$3</f>
        <v>12</v>
      </c>
      <c r="B112" s="2">
        <v>7</v>
      </c>
      <c r="C112" s="2">
        <v>8</v>
      </c>
      <c r="D112" s="62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>0.75750149742463557</v>
      </c>
      <c r="E112" s="62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>6.2152071384537239E-2</v>
      </c>
      <c r="F112" s="62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>3.0531974865779115E-2</v>
      </c>
      <c r="G112" s="69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>0</v>
      </c>
      <c r="H112" s="62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>3.650055746186142E-2</v>
      </c>
      <c r="I112" s="62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>9.8726461198567539E-2</v>
      </c>
      <c r="J112" s="62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>1.3638590433121142E-2</v>
      </c>
      <c r="K112" s="62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>2.0348951320868169E-4</v>
      </c>
      <c r="L112" s="62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>0</v>
      </c>
      <c r="M112" s="62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>0</v>
      </c>
      <c r="N112" s="62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>0</v>
      </c>
      <c r="O112" s="62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>0</v>
      </c>
      <c r="P112" s="62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>7.4535771828940505E-4</v>
      </c>
      <c r="Q112" s="62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>0</v>
      </c>
      <c r="R112" s="62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>0</v>
      </c>
      <c r="S112" s="62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>0</v>
      </c>
      <c r="T112" s="62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>0</v>
      </c>
      <c r="U112" s="62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>0</v>
      </c>
      <c r="V112" s="62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>0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7.4190577714666847E-2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7.024218861327014E-2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6.9242188613270139E-2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6.7242188613270137E-2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1.3991459672387262E-2</v>
      </c>
      <c r="AB112" s="2">
        <f>SUMIFS(PERSALDATA!$G$2:$G$20871,PERSALDATA!$A$2:$A$20871,WORKING!A112,PERSALDATA!$D$2:$D$20871,WORKING!B112,PERSALDATA!$E$2:$E$20871,WORKING!C112,PERSALDATA!$F$2:$F$20871,"S&amp;W: BASIC SALARY (RES)")</f>
        <v>32</v>
      </c>
      <c r="AC112" s="2">
        <f>SUMIFS(PERSALDATA!$H$2:$H$20871,PERSALDATA!$A$2:$A$20871,WORKING!A112,PERSALDATA!$D$2:$D$20871,WORKING!B112,PERSALDATA!$E$2:$E$20871,WORKING!C112)</f>
        <v>11230849.02</v>
      </c>
    </row>
    <row r="113" spans="1:29" x14ac:dyDescent="0.25">
      <c r="A113" s="2">
        <f>Results!$D$3</f>
        <v>12</v>
      </c>
      <c r="B113" s="2">
        <v>7</v>
      </c>
      <c r="C113" s="2">
        <v>9</v>
      </c>
      <c r="D113" s="62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>0.75768874383588658</v>
      </c>
      <c r="E113" s="62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>6.2109648179334891E-2</v>
      </c>
      <c r="F113" s="62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>2.88799710012662E-2</v>
      </c>
      <c r="G113" s="69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>0</v>
      </c>
      <c r="H113" s="62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>3.4142231414184314E-2</v>
      </c>
      <c r="I113" s="62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>9.865104970434159E-2</v>
      </c>
      <c r="J113" s="62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>1.6665337101023119E-2</v>
      </c>
      <c r="K113" s="62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>1.7120616121517936E-4</v>
      </c>
      <c r="L113" s="62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>1.6918126027481613E-3</v>
      </c>
      <c r="M113" s="62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>0</v>
      </c>
      <c r="N113" s="62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>0</v>
      </c>
      <c r="O113" s="62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>0</v>
      </c>
      <c r="P113" s="62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>0</v>
      </c>
      <c r="Q113" s="62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>0</v>
      </c>
      <c r="R113" s="62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>0</v>
      </c>
      <c r="S113" s="62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>0</v>
      </c>
      <c r="T113" s="62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>0</v>
      </c>
      <c r="U113" s="62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>0</v>
      </c>
      <c r="V113" s="62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>0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7.4283113443702337E-2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7.0223333761200102E-2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6.9223333761200101E-2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6.7223333761200113E-2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1.4052098871350014E-2</v>
      </c>
      <c r="AB113" s="2">
        <f>SUMIFS(PERSALDATA!$G$2:$G$20871,PERSALDATA!$A$2:$A$20871,WORKING!A113,PERSALDATA!$D$2:$D$20871,WORKING!B113,PERSALDATA!$E$2:$E$20871,WORKING!C113,PERSALDATA!$F$2:$F$20871,"S&amp;W: BASIC SALARY (RES)")</f>
        <v>39</v>
      </c>
      <c r="AC113" s="2">
        <f>SUMIFS(PERSALDATA!$H$2:$H$20871,PERSALDATA!$A$2:$A$20871,WORKING!A113,PERSALDATA!$D$2:$D$20871,WORKING!B113,PERSALDATA!$E$2:$E$20871,WORKING!C113)</f>
        <v>16651678.77</v>
      </c>
    </row>
    <row r="114" spans="1:29" x14ac:dyDescent="0.25">
      <c r="A114" s="2">
        <f>Results!$D$3</f>
        <v>12</v>
      </c>
      <c r="B114" s="2">
        <v>7</v>
      </c>
      <c r="C114" s="2">
        <v>10</v>
      </c>
      <c r="D114" s="62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>0.78915380600019347</v>
      </c>
      <c r="E114" s="62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>6.5949578913407553E-2</v>
      </c>
      <c r="F114" s="62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>2.1161645745892244E-2</v>
      </c>
      <c r="G114" s="69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>0</v>
      </c>
      <c r="H114" s="62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>6.2196837061839812E-3</v>
      </c>
      <c r="I114" s="62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>0.10258957819207146</v>
      </c>
      <c r="J114" s="62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>1.4782666984629765E-2</v>
      </c>
      <c r="K114" s="62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>1.430404576215093E-4</v>
      </c>
      <c r="L114" s="62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>0</v>
      </c>
      <c r="M114" s="62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>0</v>
      </c>
      <c r="N114" s="62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>0</v>
      </c>
      <c r="O114" s="62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>0</v>
      </c>
      <c r="P114" s="62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>0</v>
      </c>
      <c r="Q114" s="62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>0</v>
      </c>
      <c r="R114" s="62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>0</v>
      </c>
      <c r="S114" s="62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>0</v>
      </c>
      <c r="T114" s="62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>0</v>
      </c>
      <c r="U114" s="62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>0</v>
      </c>
      <c r="V114" s="62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>0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7.447879049519876E-2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6.9881678798133839E-2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6.8881678798133839E-2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6.6881678798133823E-2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1.4587134451354533E-2</v>
      </c>
      <c r="AB114" s="2">
        <f>SUMIFS(PERSALDATA!$G$2:$G$20871,PERSALDATA!$A$2:$A$20871,WORKING!A114,PERSALDATA!$D$2:$D$20871,WORKING!B114,PERSALDATA!$E$2:$E$20871,WORKING!C114,PERSALDATA!$F$2:$F$20871,"S&amp;W: BASIC SALARY (RES)")</f>
        <v>4</v>
      </c>
      <c r="AC114" s="2">
        <f>SUMIFS(PERSALDATA!$H$2:$H$20871,PERSALDATA!$A$2:$A$20871,WORKING!A114,PERSALDATA!$D$2:$D$20871,WORKING!B114,PERSALDATA!$E$2:$E$20871,WORKING!C114)</f>
        <v>1956369.58</v>
      </c>
    </row>
    <row r="115" spans="1:29" x14ac:dyDescent="0.25">
      <c r="A115" s="2">
        <f>Results!$D$3</f>
        <v>12</v>
      </c>
      <c r="B115" s="2">
        <v>7</v>
      </c>
      <c r="C115" s="2">
        <v>11</v>
      </c>
      <c r="D115" s="62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>0.69921035303716106</v>
      </c>
      <c r="E115" s="62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>5.826133627439703E-2</v>
      </c>
      <c r="F115" s="62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>1.036880329952297E-2</v>
      </c>
      <c r="G115" s="69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>0</v>
      </c>
      <c r="H115" s="62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>2.2189450392350363E-2</v>
      </c>
      <c r="I115" s="62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>8.9719276820966393E-2</v>
      </c>
      <c r="J115" s="62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>2.6144093659947673E-2</v>
      </c>
      <c r="K115" s="62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>1.1406508503537058E-4</v>
      </c>
      <c r="L115" s="62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>0</v>
      </c>
      <c r="M115" s="62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>9.3992621430618997E-2</v>
      </c>
      <c r="N115" s="62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>0</v>
      </c>
      <c r="O115" s="62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>0</v>
      </c>
      <c r="P115" s="62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>0</v>
      </c>
      <c r="Q115" s="62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>0</v>
      </c>
      <c r="R115" s="62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>0</v>
      </c>
      <c r="S115" s="62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>0</v>
      </c>
      <c r="T115" s="62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>0</v>
      </c>
      <c r="U115" s="62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>0</v>
      </c>
      <c r="V115" s="62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>0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1.4509915218346369E-2</v>
      </c>
      <c r="AB115" s="2">
        <f>SUMIFS(PERSALDATA!$G$2:$G$20871,PERSALDATA!$A$2:$A$20871,WORKING!A115,PERSALDATA!$D$2:$D$20871,WORKING!B115,PERSALDATA!$E$2:$E$20871,WORKING!C115,PERSALDATA!$F$2:$F$20871,"S&amp;W: BASIC SALARY (RES)")</f>
        <v>26</v>
      </c>
      <c r="AC115" s="2">
        <f>SUMIFS(PERSALDATA!$H$2:$H$20871,PERSALDATA!$A$2:$A$20871,WORKING!A115,PERSALDATA!$D$2:$D$20871,WORKING!B115,PERSALDATA!$E$2:$E$20871,WORKING!C115)</f>
        <v>14668905.91</v>
      </c>
    </row>
    <row r="116" spans="1:29" x14ac:dyDescent="0.25">
      <c r="A116" s="2">
        <f>Results!$D$3</f>
        <v>12</v>
      </c>
      <c r="B116" s="2">
        <v>7</v>
      </c>
      <c r="C116" s="2">
        <v>12</v>
      </c>
      <c r="D116" s="62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>0.70919592578301893</v>
      </c>
      <c r="E116" s="62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>3.1389464388466751E-2</v>
      </c>
      <c r="F116" s="62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>1.2709392426881747E-2</v>
      </c>
      <c r="G116" s="69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>0</v>
      </c>
      <c r="H116" s="62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>1.495437030937787E-2</v>
      </c>
      <c r="I116" s="62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>8.701347973734759E-2</v>
      </c>
      <c r="J116" s="62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>2.1660052659036678E-2</v>
      </c>
      <c r="K116" s="62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>9.3166231674341192E-5</v>
      </c>
      <c r="L116" s="62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>0</v>
      </c>
      <c r="M116" s="62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>0.12173907237600808</v>
      </c>
      <c r="N116" s="62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>0</v>
      </c>
      <c r="O116" s="62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>0</v>
      </c>
      <c r="P116" s="62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>1.245076088187985E-3</v>
      </c>
      <c r="Q116" s="62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>0</v>
      </c>
      <c r="R116" s="62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>0</v>
      </c>
      <c r="S116" s="62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>0</v>
      </c>
      <c r="T116" s="62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>0</v>
      </c>
      <c r="U116" s="62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>0</v>
      </c>
      <c r="V116" s="62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>0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1.4583646065480991E-2</v>
      </c>
      <c r="AB116" s="2">
        <f>SUMIFS(PERSALDATA!$G$2:$G$20871,PERSALDATA!$A$2:$A$20871,WORKING!A116,PERSALDATA!$D$2:$D$20871,WORKING!B116,PERSALDATA!$E$2:$E$20871,WORKING!C116,PERSALDATA!$F$2:$F$20871,"S&amp;W: BASIC SALARY (RES)")</f>
        <v>9</v>
      </c>
      <c r="AC116" s="2">
        <f>SUMIFS(PERSALDATA!$H$2:$H$20871,PERSALDATA!$A$2:$A$20871,WORKING!A116,PERSALDATA!$D$2:$D$20871,WORKING!B116,PERSALDATA!$E$2:$E$20871,WORKING!C116)</f>
        <v>7133700.5700000003</v>
      </c>
    </row>
    <row r="117" spans="1:29" x14ac:dyDescent="0.25">
      <c r="A117" s="2">
        <f>Results!$D$3</f>
        <v>12</v>
      </c>
      <c r="B117" s="2">
        <v>7</v>
      </c>
      <c r="C117" s="2">
        <v>13</v>
      </c>
      <c r="D117" s="62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>0.60768556174858734</v>
      </c>
      <c r="E117" s="62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>4.7120628788116854E-2</v>
      </c>
      <c r="F117" s="62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>2.2746912675289874E-2</v>
      </c>
      <c r="G117" s="69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>0</v>
      </c>
      <c r="H117" s="62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>1.1798768595307461E-2</v>
      </c>
      <c r="I117" s="62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>7.9385785886952637E-2</v>
      </c>
      <c r="J117" s="62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>1.8727737967989603E-2</v>
      </c>
      <c r="K117" s="62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>7.2864929226031772E-5</v>
      </c>
      <c r="L117" s="62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>0</v>
      </c>
      <c r="M117" s="62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>0.21246173940853036</v>
      </c>
      <c r="N117" s="62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>0</v>
      </c>
      <c r="O117" s="62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>0</v>
      </c>
      <c r="P117" s="62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>0</v>
      </c>
      <c r="Q117" s="62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>0</v>
      </c>
      <c r="R117" s="62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>0</v>
      </c>
      <c r="S117" s="62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>0</v>
      </c>
      <c r="T117" s="62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>0</v>
      </c>
      <c r="U117" s="62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>0</v>
      </c>
      <c r="V117" s="62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>0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1.4480721807002651E-2</v>
      </c>
      <c r="AB117" s="2">
        <f>SUMIFS(PERSALDATA!$G$2:$G$20871,PERSALDATA!$A$2:$A$20871,WORKING!A117,PERSALDATA!$D$2:$D$20871,WORKING!B117,PERSALDATA!$E$2:$E$20871,WORKING!C117,PERSALDATA!$F$2:$F$20871,"S&amp;W: BASIC SALARY (RES)")</f>
        <v>18</v>
      </c>
      <c r="AC117" s="2">
        <f>SUMIFS(PERSALDATA!$H$2:$H$20871,PERSALDATA!$A$2:$A$20871,WORKING!A117,PERSALDATA!$D$2:$D$20871,WORKING!B117,PERSALDATA!$E$2:$E$20871,WORKING!C117)</f>
        <v>17682443.579999998</v>
      </c>
    </row>
    <row r="118" spans="1:29" x14ac:dyDescent="0.25">
      <c r="A118" s="2">
        <f>Results!$D$3</f>
        <v>12</v>
      </c>
      <c r="B118" s="2">
        <v>7</v>
      </c>
      <c r="C118" s="2">
        <v>14</v>
      </c>
      <c r="D118" s="62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>0.6247498945084653</v>
      </c>
      <c r="E118" s="62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>4.9309273534841325E-2</v>
      </c>
      <c r="F118" s="62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>1.220092091005579E-3</v>
      </c>
      <c r="G118" s="69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>0</v>
      </c>
      <c r="H118" s="62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>1.2103313542775345E-2</v>
      </c>
      <c r="I118" s="62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>8.1217338804079858E-2</v>
      </c>
      <c r="J118" s="62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>1.3584125757050028E-2</v>
      </c>
      <c r="K118" s="62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>6.0066489298083561E-5</v>
      </c>
      <c r="L118" s="62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>0</v>
      </c>
      <c r="M118" s="62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>0.21775589527248435</v>
      </c>
      <c r="N118" s="62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>0</v>
      </c>
      <c r="O118" s="62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>0</v>
      </c>
      <c r="P118" s="62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>0</v>
      </c>
      <c r="Q118" s="62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>0</v>
      </c>
      <c r="R118" s="62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>0</v>
      </c>
      <c r="S118" s="62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>0</v>
      </c>
      <c r="T118" s="62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>0</v>
      </c>
      <c r="U118" s="62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>0</v>
      </c>
      <c r="V118" s="62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>0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1.4799247918153811E-2</v>
      </c>
      <c r="AB118" s="2">
        <f>SUMIFS(PERSALDATA!$G$2:$G$20871,PERSALDATA!$A$2:$A$20871,WORKING!A118,PERSALDATA!$D$2:$D$20871,WORKING!B118,PERSALDATA!$E$2:$E$20871,WORKING!C118,PERSALDATA!$F$2:$F$20871,"S&amp;W: BASIC SALARY (RES)")</f>
        <v>7</v>
      </c>
      <c r="AC118" s="2">
        <f>SUMIFS(PERSALDATA!$H$2:$H$20871,PERSALDATA!$A$2:$A$20871,WORKING!A118,PERSALDATA!$D$2:$D$20871,WORKING!B118,PERSALDATA!$E$2:$E$20871,WORKING!C118)</f>
        <v>7376492.3700000001</v>
      </c>
    </row>
    <row r="119" spans="1:29" x14ac:dyDescent="0.25">
      <c r="A119" s="2">
        <f>Results!$D$3</f>
        <v>12</v>
      </c>
      <c r="B119" s="2">
        <v>7</v>
      </c>
      <c r="C119" s="2">
        <v>15</v>
      </c>
      <c r="D119" s="62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>0.63157939005502028</v>
      </c>
      <c r="E119" s="62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>0</v>
      </c>
      <c r="F119" s="62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>0</v>
      </c>
      <c r="G119" s="69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>0</v>
      </c>
      <c r="H119" s="62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>0</v>
      </c>
      <c r="I119" s="62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>8.2104619786703914E-2</v>
      </c>
      <c r="J119" s="62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>0</v>
      </c>
      <c r="K119" s="62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>0</v>
      </c>
      <c r="L119" s="62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>0</v>
      </c>
      <c r="M119" s="62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>0.28631599015827586</v>
      </c>
      <c r="N119" s="62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>0</v>
      </c>
      <c r="O119" s="62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>0</v>
      </c>
      <c r="P119" s="62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>0</v>
      </c>
      <c r="Q119" s="62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>0</v>
      </c>
      <c r="R119" s="62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>0</v>
      </c>
      <c r="S119" s="62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>0</v>
      </c>
      <c r="T119" s="62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>0</v>
      </c>
      <c r="U119" s="62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>0</v>
      </c>
      <c r="V119" s="62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>0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1.4999999999999999E-2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24967.17</v>
      </c>
    </row>
    <row r="120" spans="1:29" x14ac:dyDescent="0.25">
      <c r="A120" s="2">
        <f>Results!$D$3</f>
        <v>12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12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12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12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12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12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12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12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12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12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12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12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12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12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12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12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12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12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12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12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12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12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12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12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12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12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12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12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12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12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12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12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12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12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12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12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12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12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12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12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12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12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12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12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12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12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12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12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12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12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12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12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12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12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12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12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12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12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12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12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12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12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12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12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12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12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12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12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12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12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12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12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12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12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12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12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12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12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12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12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12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12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12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12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12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12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12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12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12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12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12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12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12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12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12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12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12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12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12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12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12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12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12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12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12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12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12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12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12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12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12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12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12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12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12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12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12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12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12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12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12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12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12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12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12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12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12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12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12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12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12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12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12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12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12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12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12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12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12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12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12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12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12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12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12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12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12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12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12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12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12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12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12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12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12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12</v>
      </c>
      <c r="E3" s="74" t="str">
        <f>INDEX(MAPs!$I$7:$J$54,MATCH(Results!$D$3,MAPs!$I$7:$I$54,0),2)</f>
        <v>Statistics South Africa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1509.068091844814</v>
      </c>
      <c r="N9" s="148">
        <f>IFERROR(SUMIFS('Employee Profile (2)'!C$4:C$50,'Employee Profile (2)'!$B$4:$B$50,Results!$D$3),"")</f>
        <v>0.31749802058590659</v>
      </c>
      <c r="O9" s="150" t="s">
        <v>620</v>
      </c>
      <c r="P9" s="143">
        <f>IFERROR(INDEX('Employee Profile (2)'!$AC$4:$AC$50,MATCH(Results!$D$3,'Employee Profile (2)'!$B$4:$B$50,0))*$Q9,"")</f>
        <v>3497.3248878332015</v>
      </c>
      <c r="Q9" s="148">
        <f>IFERROR(SUMIFS('Employee Profile (2)'!J$4:J$50,'Employee Profile (2)'!$B$4:$B$50,Results!$D$3),"")</f>
        <v>0.73581419899709688</v>
      </c>
      <c r="R9" s="150" t="s">
        <v>627</v>
      </c>
      <c r="S9" s="144">
        <f>IFERROR(INDEX('Employee Profile (2)'!$AC$4:$AC$50,MATCH(Results!$D$3,'Employee Profile (2)'!$B$4:$B$50,0))*$T9,"")</f>
        <v>316.11401425178155</v>
      </c>
      <c r="T9" s="147">
        <f>IFERROR(SUMIFS('Employee Profile (2)'!N$4:N$50,'Employee Profile (2)'!$B$4:$B$50,Results!$D$3),"")</f>
        <v>6.6508313539192412E-2</v>
      </c>
      <c r="U9" s="150" t="s">
        <v>632</v>
      </c>
      <c r="V9" s="144">
        <f>IFERROR(INDEX('Employee Profile (2)'!$AC$4:$AC$50,MATCH(Results!$D$3,'Employee Profile (2)'!$B$4:$B$50,0))*$W9,"")</f>
        <v>2221.5790446027977</v>
      </c>
      <c r="W9" s="147">
        <f>IFERROR(SUMIFS('Employee Profile (2)'!S$4:S$50,'Employee Profile (2)'!$B$4:$B$50,Results!$D$3),"")</f>
        <v>0.46740564792821326</v>
      </c>
      <c r="X9" s="150" t="s">
        <v>635</v>
      </c>
      <c r="Y9" s="144">
        <f>IFERROR(INDEX('Employee Profile (2)'!$AC$4:$AC$50,MATCH(Results!$D$3,'Employee Profile (2)'!$B$4:$B$50,0))*$Z9,"")</f>
        <v>3617.749274214832</v>
      </c>
      <c r="Z9" s="147">
        <f>IFERROR(SUMIFS('Employee Profile (2)'!V$4:V$50,'Employee Profile (2)'!$B$4:$B$50,Results!$D$3),"")</f>
        <v>0.76115069939297963</v>
      </c>
      <c r="AA9" s="150" t="s">
        <v>675</v>
      </c>
      <c r="AB9" s="144">
        <f>IFERROR(SUMIFS('Employee Profile (2)'!$AD$4:$AD$50,'Employee Profile (2)'!$B$4:$B$50,Results!$D$3),"")</f>
        <v>675</v>
      </c>
      <c r="AC9" s="147">
        <f>IFERROR(SUMIFS('Employee Profile (2)'!$AE$4:$AE$50,'Employee Profile (2)'!$B$4:$B$50,Results!$D$3),"")</f>
        <v>0.14201556911424362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2197.7450514647667</v>
      </c>
      <c r="N10" s="148">
        <f>IFERROR(SUMIFS('Employee Profile (2)'!D$4:D$50,'Employee Profile (2)'!$B$4:$B$50,Results!$D$3),"")</f>
        <v>0.46239113222486145</v>
      </c>
      <c r="O10" s="150" t="s">
        <v>621</v>
      </c>
      <c r="P10" s="143">
        <f>IFERROR(INDEX('Employee Profile (2)'!$AC$4:$AC$50,MATCH(Results!$D$3,'Employee Profile (2)'!$B$4:$B$50,0))*$Q10,"")</f>
        <v>992.24676695698076</v>
      </c>
      <c r="Q10" s="148">
        <f>IFERROR(SUMIFS('Employee Profile (2)'!K$4:K$50,'Employee Profile (2)'!$B$4:$B$50,Results!$D$3),"")</f>
        <v>0.20876220638690948</v>
      </c>
      <c r="R10" s="150" t="s">
        <v>628</v>
      </c>
      <c r="S10" s="144">
        <f>IFERROR(INDEX('Employee Profile (2)'!$AC$4:$AC$50,MATCH(Results!$D$3,'Employee Profile (2)'!$B$4:$B$50,0))*$T10,"")</f>
        <v>1603.1496437054632</v>
      </c>
      <c r="T10" s="147">
        <f>IFERROR(SUMIFS('Employee Profile (2)'!O$4:O$50,'Employee Profile (2)'!$B$4:$B$50,Results!$D$3),"")</f>
        <v>0.33729216152019004</v>
      </c>
      <c r="U10" s="150" t="s">
        <v>633</v>
      </c>
      <c r="V10" s="144">
        <f>IFERROR(INDEX('Employee Profile (2)'!$AC$4:$AC$50,MATCH(Results!$D$3,'Employee Profile (2)'!$B$4:$B$50,0))*$W10,"")</f>
        <v>1935.5711269464239</v>
      </c>
      <c r="W10" s="147">
        <f>IFERROR(SUMIFS('Employee Profile (2)'!T$4:T$50,'Employee Profile (2)'!$B$4:$B$50,Results!$D$3),"")</f>
        <v>0.40723145948799155</v>
      </c>
      <c r="X10" s="150" t="s">
        <v>636</v>
      </c>
      <c r="Y10" s="144">
        <f>IFERROR(INDEX('Employee Profile (2)'!$AC$4:$AC$50,MATCH(Results!$D$3,'Employee Profile (2)'!$B$4:$B$50,0))*$Z10,"")</f>
        <v>219.52362100818158</v>
      </c>
      <c r="Z10" s="147">
        <f>IFERROR(SUMIFS('Employee Profile (2)'!W$4:W$50,'Employee Profile (2)'!$B$4:$B$50,Results!$D$3),"")</f>
        <v>4.6186328846661386E-2</v>
      </c>
      <c r="AA10" s="150" t="s">
        <v>676</v>
      </c>
      <c r="AB10" s="144">
        <f>IFERROR(INDEX('Employee Profile (2)'!$AC$4:$AC$50,MATCH(Results!$D$3,'Employee Profile (2)'!$B$4:$B$50))-$AB$9,"")</f>
        <v>4078</v>
      </c>
      <c r="AC10" s="147">
        <f>IFERROR(100%-$AC$9,"")</f>
        <v>0.85798443088575638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244.61203483768804</v>
      </c>
      <c r="N11" s="148">
        <f>IFERROR(SUMIFS('Employee Profile (2)'!E$4:E$50,'Employee Profile (2)'!$B$4:$B$50,Results!$D$3),"")</f>
        <v>5.1464766429136978E-2</v>
      </c>
      <c r="O11" s="150" t="s">
        <v>622</v>
      </c>
      <c r="P11" s="143">
        <f>IFERROR(INDEX('Employee Profile (2)'!$AC$4:$AC$50,MATCH(Results!$D$3,'Employee Profile (2)'!$B$4:$B$50,0))*$Q11,"")</f>
        <v>186.90868302982318</v>
      </c>
      <c r="Q11" s="148">
        <f>IFERROR(SUMIFS('Employee Profile (2)'!L$4:L$50,'Employee Profile (2)'!$B$4:$B$50,Results!$D$3),"")</f>
        <v>3.9324359989443128E-2</v>
      </c>
      <c r="R11" s="150" t="s">
        <v>629</v>
      </c>
      <c r="S11" s="144">
        <f>IFERROR(INDEX('Employee Profile (2)'!$AC$4:$AC$50,MATCH(Results!$D$3,'Employee Profile (2)'!$B$4:$B$50,0))*$T11,"")</f>
        <v>1152.8126154658221</v>
      </c>
      <c r="T11" s="147">
        <f>IFERROR(SUMIFS('Employee Profile (2)'!P$4:P$50,'Employee Profile (2)'!$B$4:$B$50,Results!$D$3),"")</f>
        <v>0.24254420691475323</v>
      </c>
      <c r="U11" s="150" t="s">
        <v>53</v>
      </c>
      <c r="V11" s="144">
        <f>IFERROR(INDEX('Employee Profile (2)'!$AC$4:$AC$50,MATCH(Results!$D$3,'Employee Profile (2)'!$B$4:$B$50,0))*$W11,"")</f>
        <v>595.84982845077866</v>
      </c>
      <c r="W11" s="147">
        <f>IFERROR(SUMIFS('Employee Profile (2)'!U$4:U$50,'Employee Profile (2)'!$B$4:$B$50,Results!$D$3),"")</f>
        <v>0.12536289258379521</v>
      </c>
      <c r="X11" s="150" t="s">
        <v>637</v>
      </c>
      <c r="Y11" s="144">
        <f>IFERROR(INDEX('Employee Profile (2)'!$AC$4:$AC$50,MATCH(Results!$D$3,'Employee Profile (2)'!$B$4:$B$50,0))*$Z11,"")</f>
        <v>67.73871733966746</v>
      </c>
      <c r="Z11" s="147">
        <f>IFERROR(SUMIFS('Employee Profile (2)'!X$4:X$50,'Employee Profile (2)'!$B$4:$B$50,Results!$D$3),"")</f>
        <v>1.4251781472684086E-2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145.51280021113752</v>
      </c>
      <c r="N12" s="148">
        <f>IFERROR(SUMIFS('Employee Profile (2)'!F$4:F$50,'Employee Profile (2)'!$B$4:$B$50,Results!$D$3),"")</f>
        <v>3.0614937978358406E-2</v>
      </c>
      <c r="O12" s="150" t="s">
        <v>623</v>
      </c>
      <c r="P12" s="143">
        <f>IFERROR(INDEX('Employee Profile (2)'!$AC$4:$AC$50,MATCH(Results!$D$3,'Employee Profile (2)'!$B$4:$B$50,0))*$Q12,"")</f>
        <v>76.519662179994725</v>
      </c>
      <c r="Q12" s="148">
        <f>IFERROR(SUMIFS('Employee Profile (2)'!M$4:M$50,'Employee Profile (2)'!$B$4:$B$50,Results!$D$3),"")</f>
        <v>1.6099234626550541E-2</v>
      </c>
      <c r="R12" s="150" t="s">
        <v>630</v>
      </c>
      <c r="S12" s="144">
        <f>IFERROR(INDEX('Employee Profile (2)'!$AC$4:$AC$50,MATCH(Results!$D$3,'Employee Profile (2)'!$B$4:$B$50,0))*$T12,"")</f>
        <v>135.47743467933492</v>
      </c>
      <c r="T12" s="147">
        <f>IFERROR(SUMIFS('Employee Profile (2)'!Q$4:Q$50,'Employee Profile (2)'!$B$4:$B$50,Results!$D$3),"")</f>
        <v>2.8503562945368172E-2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252.13855898653998</v>
      </c>
      <c r="Z12" s="147">
        <f>IFERROR(SUMIFS('Employee Profile (2)'!Y$4:Y$50,'Employee Profile (2)'!$B$4:$B$50,Results!$D$3),"")</f>
        <v>5.304829770387965E-2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60.212193190815519</v>
      </c>
      <c r="N13" s="148">
        <f>IFERROR(SUMIFS('Employee Profile (2)'!G$4:G$50,'Employee Profile (2)'!$B$4:$B$50,Results!$D$3),"")</f>
        <v>1.2668250197941409E-2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1545.4462918975983</v>
      </c>
      <c r="T13" s="147">
        <f>IFERROR(SUMIFS('Employee Profile (2)'!R$4:R$50,'Employee Profile (2)'!$B$4:$B$50,Results!$D$3),"")</f>
        <v>0.32515175508049615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595.84982845077866</v>
      </c>
      <c r="Z13" s="147">
        <f>IFERROR(SUMIFS('Employee Profile (2)'!Z$4:Z$50,'Employee Profile (2)'!$B$4:$B$50,Results!$D$3),"")</f>
        <v>0.12536289258379521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66.484296648192142</v>
      </c>
      <c r="N14" s="148">
        <f>IFERROR(SUMIFS('Employee Profile (2)'!H$4:H$50,'Employee Profile (2)'!$B$4:$B$50,Results!$D$3),"")</f>
        <v>1.3987859593560307E-2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529.36553180258647</v>
      </c>
      <c r="N15" s="148">
        <f>IFERROR(SUMIFS('Employee Profile (2)'!I$4:I$50,'Employee Profile (2)'!$B$4:$B$50,Results!$D$3),"")</f>
        <v>0.11137503299023489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515</v>
      </c>
      <c r="G29" s="87">
        <f t="shared" ref="G29:G44" si="4">SUMIFS($K$64:$K$509,$A$64:$A$509,B29,$C$64:$C$509,"Total")</f>
        <v>436.33203883495145</v>
      </c>
      <c r="H29" s="83">
        <f t="shared" ref="H29:H44" si="5">SUMIFS($J$64:$J$509,$A$64:$A$509,B29,$C$64:$C$509,"Total")</f>
        <v>224711</v>
      </c>
      <c r="I29" s="21">
        <f t="shared" ref="I29:I44" si="6">-SUMIFS($O$64:$O$509,$A$64:$A$509,$B29,$C$64:$C$509,"Total")+SUMIFS($N$64:$N$509,$A$64:$A$509,$B29,$C$64:$C$509,"Total")</f>
        <v>103</v>
      </c>
      <c r="J29" s="88">
        <f t="shared" ref="J29:J44" si="7">SUMIFS($P$64:$P$509,$A$64:$A$509,$B29,$C$64:$C$509,"Total")</f>
        <v>618</v>
      </c>
      <c r="K29" s="88">
        <f t="shared" ref="K29:K44" si="8">SUMIFS($M$64:$M$509,$A$64:$A$509,$B29,$C$64:$C$509,"Total")</f>
        <v>467.85889530333156</v>
      </c>
      <c r="L29" s="88">
        <f t="shared" ref="L29:L44" si="9">SUMIFS($R$64:$R$509,$A$64:$A$509,$B29,$C$64:$C$509,"Total")+SUMIFS($Q$64:$Q$509,$A$64:$A$509,$B29,$C$64:$C$509,"Total")</f>
        <v>56282.086471983697</v>
      </c>
      <c r="M29" s="88">
        <f t="shared" ref="M29:M44" si="10">SUMIFS($S$64:$S$509,$A$64:$A$509,$B29,$C$64:$C$509,"Total")</f>
        <v>289136.79729745892</v>
      </c>
      <c r="N29" s="88">
        <f t="shared" ref="N29:N44" si="11">SUMIFS($S$64:$S$509,$A$64:$A$509,$B29,$C$64:$C$509,"Compensation Budget")</f>
        <v>266026</v>
      </c>
      <c r="O29" s="89">
        <f t="shared" ref="O29:O44" si="12">SUMIFS($S$64:$S$509,$A$64:$A$509,$B29,$C$64:$C$509,"Under/(Over)")</f>
        <v>-23110.797297458921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618</v>
      </c>
      <c r="R29" s="88">
        <f t="shared" ref="R29:R44" si="15">SUMIFS($U$64:$U$509,$A$64:$A$509,$B29,$C$64:$C$509,"Total")</f>
        <v>506.64869588014875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313108.89405393193</v>
      </c>
      <c r="U29" s="88">
        <f t="shared" ref="U29:U44" si="18">SUMIFS($AA$64:$AA$509,$A$64:$A$509,$B29,$C$64:$C$509,"Compensation Budget")</f>
        <v>240957</v>
      </c>
      <c r="V29" s="89">
        <f t="shared" ref="V29:V44" si="19">SUMIFS($AA$64:$AA$509,$A$64:$A$509,$B29,$C$64:$C$509,"Under/(Over)")</f>
        <v>-72151.89405393193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618</v>
      </c>
      <c r="Y29" s="88">
        <f t="shared" ref="Y29:Y44" si="22">SUMIFS($AC$64:$AC$509,$A$64:$A$509,$B29,$C$64:$C$509,"Total")</f>
        <v>548.14861202294924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338755.84223018261</v>
      </c>
      <c r="AB29" s="88">
        <f t="shared" ref="AB29:AB44" si="25">SUMIFS($AI$64:$AI$509,$A$64:$A$509,$B29,$C$64:$C$509,"Compensation Budget")</f>
        <v>234237</v>
      </c>
      <c r="AC29" s="89">
        <f t="shared" ref="AC29:AC44" si="26">SUMIFS($AI$64:$AI$509,$A$64:$A$509,$B29,$C$64:$C$509,"Under/(Over)")</f>
        <v>-104518.84223018261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618</v>
      </c>
      <c r="AF29" s="88">
        <f t="shared" ref="AF29:AF44" si="29">SUMIFS($AK$64:$AK$509,$A$64:$A$509,$B29,$C$64:$C$509,"Total")</f>
        <v>591.9445152423425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365821.71041976765</v>
      </c>
      <c r="AI29" s="88">
        <f t="shared" ref="AI29:AI44" si="32">SUMIFS($AQ$64:$AQ$509,$A$64:$A$509,$B29,$C$64:$C$509,"Compensation Budget")</f>
        <v>252039.01200000002</v>
      </c>
      <c r="AJ29" s="89">
        <f t="shared" ref="AJ29:AJ44" si="33">SUMIFS($AQ$64:$AQ$509,$A$64:$A$509,$B29,$C$64:$C$509,"Under/(Over)")</f>
        <v>-113782.69841976764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Economic Statistics</v>
      </c>
      <c r="D30" s="222">
        <f t="shared" si="2"/>
        <v>0</v>
      </c>
      <c r="E30" s="223">
        <f t="shared" si="2"/>
        <v>0</v>
      </c>
      <c r="F30" s="80">
        <f t="shared" si="3"/>
        <v>550</v>
      </c>
      <c r="G30" s="155">
        <f t="shared" si="4"/>
        <v>353.71393723636362</v>
      </c>
      <c r="H30" s="155">
        <f t="shared" si="5"/>
        <v>194542.66548</v>
      </c>
      <c r="I30" s="23">
        <f t="shared" si="6"/>
        <v>34</v>
      </c>
      <c r="J30" s="22">
        <f t="shared" si="7"/>
        <v>584</v>
      </c>
      <c r="K30" s="22">
        <f t="shared" si="8"/>
        <v>388.14726455833181</v>
      </c>
      <c r="L30" s="22">
        <f t="shared" si="9"/>
        <v>16149.839237124103</v>
      </c>
      <c r="M30" s="22">
        <f t="shared" si="10"/>
        <v>226678.00250206576</v>
      </c>
      <c r="N30" s="22">
        <f t="shared" si="11"/>
        <v>199575</v>
      </c>
      <c r="O30" s="91">
        <f t="shared" si="12"/>
        <v>-27103.002502065763</v>
      </c>
      <c r="P30" s="23">
        <f t="shared" si="13"/>
        <v>0</v>
      </c>
      <c r="Q30" s="22">
        <f t="shared" si="14"/>
        <v>584</v>
      </c>
      <c r="R30" s="22">
        <f t="shared" si="15"/>
        <v>420.57899361619394</v>
      </c>
      <c r="S30" s="22">
        <f t="shared" si="16"/>
        <v>0</v>
      </c>
      <c r="T30" s="22">
        <f t="shared" si="17"/>
        <v>245618.13227185726</v>
      </c>
      <c r="U30" s="22">
        <f t="shared" si="18"/>
        <v>201656</v>
      </c>
      <c r="V30" s="91">
        <f t="shared" si="19"/>
        <v>-43962.132271857263</v>
      </c>
      <c r="W30" s="23">
        <f t="shared" si="20"/>
        <v>0</v>
      </c>
      <c r="X30" s="22">
        <f t="shared" si="21"/>
        <v>584</v>
      </c>
      <c r="Y30" s="22">
        <f t="shared" si="22"/>
        <v>455.29888637212252</v>
      </c>
      <c r="Z30" s="22">
        <f t="shared" si="23"/>
        <v>0</v>
      </c>
      <c r="AA30" s="22">
        <f t="shared" si="24"/>
        <v>265894.54964131955</v>
      </c>
      <c r="AB30" s="22">
        <f t="shared" si="25"/>
        <v>208443</v>
      </c>
      <c r="AC30" s="91">
        <f t="shared" si="26"/>
        <v>-57451.549641319551</v>
      </c>
      <c r="AD30" s="23">
        <f t="shared" si="27"/>
        <v>0</v>
      </c>
      <c r="AE30" s="22">
        <f t="shared" si="28"/>
        <v>584</v>
      </c>
      <c r="AF30" s="22">
        <f t="shared" si="29"/>
        <v>491.96682637980967</v>
      </c>
      <c r="AG30" s="22">
        <f t="shared" si="30"/>
        <v>0</v>
      </c>
      <c r="AH30" s="22">
        <f t="shared" si="31"/>
        <v>287308.62660580885</v>
      </c>
      <c r="AI30" s="22">
        <f t="shared" si="32"/>
        <v>224284.66800000001</v>
      </c>
      <c r="AJ30" s="91">
        <f t="shared" si="33"/>
        <v>-63023.958605808846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Population and Social Statistics</v>
      </c>
      <c r="D31" s="222">
        <f t="shared" si="2"/>
        <v>0</v>
      </c>
      <c r="E31" s="223">
        <f t="shared" si="2"/>
        <v>0</v>
      </c>
      <c r="F31" s="80">
        <f t="shared" si="3"/>
        <v>193</v>
      </c>
      <c r="G31" s="155">
        <f t="shared" si="4"/>
        <v>591.85492227979273</v>
      </c>
      <c r="H31" s="155">
        <f t="shared" si="5"/>
        <v>114228</v>
      </c>
      <c r="I31" s="23">
        <f t="shared" si="6"/>
        <v>16</v>
      </c>
      <c r="J31" s="22">
        <f t="shared" si="7"/>
        <v>209</v>
      </c>
      <c r="K31" s="22">
        <f t="shared" si="8"/>
        <v>525.64917445814638</v>
      </c>
      <c r="L31" s="22">
        <f t="shared" si="9"/>
        <v>11596.983393291184</v>
      </c>
      <c r="M31" s="22">
        <f t="shared" si="10"/>
        <v>109860.6774617526</v>
      </c>
      <c r="N31" s="22">
        <f t="shared" si="11"/>
        <v>103398</v>
      </c>
      <c r="O31" s="91">
        <f t="shared" si="12"/>
        <v>-6462.6774617525953</v>
      </c>
      <c r="P31" s="23">
        <f t="shared" si="13"/>
        <v>0</v>
      </c>
      <c r="Q31" s="22">
        <f t="shared" si="14"/>
        <v>209</v>
      </c>
      <c r="R31" s="22">
        <f t="shared" si="15"/>
        <v>568.62561762222674</v>
      </c>
      <c r="S31" s="22">
        <f t="shared" si="16"/>
        <v>0</v>
      </c>
      <c r="T31" s="22">
        <f t="shared" si="17"/>
        <v>118842.75408304539</v>
      </c>
      <c r="U31" s="22">
        <f t="shared" si="18"/>
        <v>103303</v>
      </c>
      <c r="V31" s="91">
        <f t="shared" si="19"/>
        <v>-15539.754083045395</v>
      </c>
      <c r="W31" s="23">
        <f t="shared" si="20"/>
        <v>0</v>
      </c>
      <c r="X31" s="22">
        <f t="shared" si="21"/>
        <v>209</v>
      </c>
      <c r="Y31" s="22">
        <f t="shared" si="22"/>
        <v>614.55047425664213</v>
      </c>
      <c r="Z31" s="22">
        <f t="shared" si="23"/>
        <v>0</v>
      </c>
      <c r="AA31" s="22">
        <f t="shared" si="24"/>
        <v>128441.04911963821</v>
      </c>
      <c r="AB31" s="22">
        <f t="shared" si="25"/>
        <v>106199</v>
      </c>
      <c r="AC31" s="91">
        <f t="shared" si="26"/>
        <v>-22242.049119638206</v>
      </c>
      <c r="AD31" s="23">
        <f t="shared" si="27"/>
        <v>0</v>
      </c>
      <c r="AE31" s="22">
        <f t="shared" si="28"/>
        <v>209</v>
      </c>
      <c r="AF31" s="22">
        <f t="shared" si="29"/>
        <v>662.95012787056726</v>
      </c>
      <c r="AG31" s="22">
        <f t="shared" si="30"/>
        <v>0</v>
      </c>
      <c r="AH31" s="22">
        <f t="shared" si="31"/>
        <v>138556.57672494857</v>
      </c>
      <c r="AI31" s="22">
        <f t="shared" si="32"/>
        <v>114270.12400000001</v>
      </c>
      <c r="AJ31" s="91">
        <f t="shared" si="33"/>
        <v>-24286.452724948555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Methodology, Standards and Research</v>
      </c>
      <c r="D32" s="222">
        <f t="shared" si="2"/>
        <v>0</v>
      </c>
      <c r="E32" s="223">
        <f t="shared" si="2"/>
        <v>0</v>
      </c>
      <c r="F32" s="80">
        <f t="shared" si="3"/>
        <v>119</v>
      </c>
      <c r="G32" s="155">
        <f t="shared" si="4"/>
        <v>461.00840336134456</v>
      </c>
      <c r="H32" s="155">
        <f t="shared" si="5"/>
        <v>54860</v>
      </c>
      <c r="I32" s="23">
        <f t="shared" si="6"/>
        <v>12</v>
      </c>
      <c r="J32" s="22">
        <f t="shared" si="7"/>
        <v>131</v>
      </c>
      <c r="K32" s="22">
        <f t="shared" si="8"/>
        <v>493.14866439561064</v>
      </c>
      <c r="L32" s="22">
        <f t="shared" si="9"/>
        <v>5485.4307930955292</v>
      </c>
      <c r="M32" s="22">
        <f t="shared" si="10"/>
        <v>64602.475035824995</v>
      </c>
      <c r="N32" s="22">
        <f t="shared" si="11"/>
        <v>65388</v>
      </c>
      <c r="O32" s="91">
        <f t="shared" si="12"/>
        <v>785.52496417500515</v>
      </c>
      <c r="P32" s="23">
        <f t="shared" si="13"/>
        <v>0</v>
      </c>
      <c r="Q32" s="22">
        <f t="shared" si="14"/>
        <v>131</v>
      </c>
      <c r="R32" s="22">
        <f t="shared" si="15"/>
        <v>533.85142654678907</v>
      </c>
      <c r="S32" s="22">
        <f t="shared" si="16"/>
        <v>0</v>
      </c>
      <c r="T32" s="22">
        <f t="shared" si="17"/>
        <v>69934.536877629362</v>
      </c>
      <c r="U32" s="22">
        <f t="shared" si="18"/>
        <v>62508</v>
      </c>
      <c r="V32" s="91">
        <f t="shared" si="19"/>
        <v>-7426.5368776293617</v>
      </c>
      <c r="W32" s="23">
        <f t="shared" si="20"/>
        <v>0</v>
      </c>
      <c r="X32" s="22">
        <f t="shared" si="21"/>
        <v>131</v>
      </c>
      <c r="Y32" s="22">
        <f t="shared" si="22"/>
        <v>577.38217383167989</v>
      </c>
      <c r="Z32" s="22">
        <f t="shared" si="23"/>
        <v>0</v>
      </c>
      <c r="AA32" s="22">
        <f t="shared" si="24"/>
        <v>75637.06477195007</v>
      </c>
      <c r="AB32" s="22">
        <f t="shared" si="25"/>
        <v>62860</v>
      </c>
      <c r="AC32" s="91">
        <f t="shared" si="26"/>
        <v>-12777.06477195007</v>
      </c>
      <c r="AD32" s="23">
        <f t="shared" si="27"/>
        <v>0</v>
      </c>
      <c r="AE32" s="22">
        <f t="shared" si="28"/>
        <v>131</v>
      </c>
      <c r="AF32" s="22">
        <f t="shared" si="29"/>
        <v>623.30207250761885</v>
      </c>
      <c r="AG32" s="22">
        <f t="shared" si="30"/>
        <v>0</v>
      </c>
      <c r="AH32" s="22">
        <f t="shared" si="31"/>
        <v>81652.571498498073</v>
      </c>
      <c r="AI32" s="22">
        <f t="shared" si="32"/>
        <v>67637.36</v>
      </c>
      <c r="AJ32" s="91">
        <f t="shared" si="33"/>
        <v>-14015.211498498073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Statistical Support and Informatics</v>
      </c>
      <c r="D33" s="222">
        <f t="shared" si="2"/>
        <v>0</v>
      </c>
      <c r="E33" s="223">
        <f t="shared" si="2"/>
        <v>0</v>
      </c>
      <c r="F33" s="80">
        <f t="shared" si="3"/>
        <v>222</v>
      </c>
      <c r="G33" s="155">
        <f t="shared" si="4"/>
        <v>519.59009009009014</v>
      </c>
      <c r="H33" s="155">
        <f t="shared" si="5"/>
        <v>115349</v>
      </c>
      <c r="I33" s="23">
        <f t="shared" si="6"/>
        <v>39</v>
      </c>
      <c r="J33" s="22">
        <f t="shared" si="7"/>
        <v>261</v>
      </c>
      <c r="K33" s="22">
        <f t="shared" si="8"/>
        <v>550.78252230934322</v>
      </c>
      <c r="L33" s="22">
        <f t="shared" si="9"/>
        <v>19331.486358018909</v>
      </c>
      <c r="M33" s="22">
        <f t="shared" si="10"/>
        <v>143754.23832273859</v>
      </c>
      <c r="N33" s="22">
        <f t="shared" si="11"/>
        <v>136500</v>
      </c>
      <c r="O33" s="91">
        <f t="shared" si="12"/>
        <v>-7254.2383227385872</v>
      </c>
      <c r="P33" s="23">
        <f t="shared" si="13"/>
        <v>0</v>
      </c>
      <c r="Q33" s="22">
        <f t="shared" si="14"/>
        <v>261</v>
      </c>
      <c r="R33" s="22">
        <f t="shared" si="15"/>
        <v>596.43608246256406</v>
      </c>
      <c r="S33" s="22">
        <f t="shared" si="16"/>
        <v>0</v>
      </c>
      <c r="T33" s="22">
        <f t="shared" si="17"/>
        <v>155669.81752272922</v>
      </c>
      <c r="U33" s="22">
        <f t="shared" si="18"/>
        <v>132085</v>
      </c>
      <c r="V33" s="91">
        <f t="shared" si="19"/>
        <v>-23584.817522729223</v>
      </c>
      <c r="W33" s="23">
        <f t="shared" si="20"/>
        <v>0</v>
      </c>
      <c r="X33" s="22">
        <f t="shared" si="21"/>
        <v>261</v>
      </c>
      <c r="Y33" s="22">
        <f t="shared" si="22"/>
        <v>645.2792640910518</v>
      </c>
      <c r="Z33" s="22">
        <f t="shared" si="23"/>
        <v>0</v>
      </c>
      <c r="AA33" s="22">
        <f t="shared" si="24"/>
        <v>168417.88792776453</v>
      </c>
      <c r="AB33" s="22">
        <f t="shared" si="25"/>
        <v>133650</v>
      </c>
      <c r="AC33" s="91">
        <f t="shared" si="26"/>
        <v>-34767.887927764532</v>
      </c>
      <c r="AD33" s="23">
        <f t="shared" si="27"/>
        <v>0</v>
      </c>
      <c r="AE33" s="22">
        <f t="shared" si="28"/>
        <v>261</v>
      </c>
      <c r="AF33" s="22">
        <f t="shared" si="29"/>
        <v>696.82456385861519</v>
      </c>
      <c r="AG33" s="22">
        <f t="shared" si="30"/>
        <v>0</v>
      </c>
      <c r="AH33" s="22">
        <f t="shared" si="31"/>
        <v>181871.21116709858</v>
      </c>
      <c r="AI33" s="22">
        <f t="shared" si="32"/>
        <v>143807.40000000002</v>
      </c>
      <c r="AJ33" s="91">
        <f t="shared" si="33"/>
        <v>-38063.811167098553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Statistical Collection and Outreach</v>
      </c>
      <c r="D34" s="222">
        <f t="shared" si="2"/>
        <v>0</v>
      </c>
      <c r="E34" s="223">
        <f t="shared" si="2"/>
        <v>0</v>
      </c>
      <c r="F34" s="80">
        <f t="shared" si="3"/>
        <v>1266</v>
      </c>
      <c r="G34" s="155">
        <f t="shared" si="4"/>
        <v>353.62559241706163</v>
      </c>
      <c r="H34" s="155">
        <f t="shared" si="5"/>
        <v>447690</v>
      </c>
      <c r="I34" s="23">
        <f t="shared" si="6"/>
        <v>86</v>
      </c>
      <c r="J34" s="22">
        <f t="shared" si="7"/>
        <v>1352</v>
      </c>
      <c r="K34" s="22">
        <f t="shared" si="8"/>
        <v>387.14880252897325</v>
      </c>
      <c r="L34" s="22">
        <f t="shared" si="9"/>
        <v>40194.045378683681</v>
      </c>
      <c r="M34" s="22">
        <f t="shared" si="10"/>
        <v>523425.18101917184</v>
      </c>
      <c r="N34" s="22">
        <f t="shared" si="11"/>
        <v>466075</v>
      </c>
      <c r="O34" s="91">
        <f t="shared" si="12"/>
        <v>-57350.18101917184</v>
      </c>
      <c r="P34" s="23">
        <f t="shared" si="13"/>
        <v>0</v>
      </c>
      <c r="Q34" s="22">
        <f t="shared" si="14"/>
        <v>1352</v>
      </c>
      <c r="R34" s="22">
        <f t="shared" si="15"/>
        <v>419.69397543743867</v>
      </c>
      <c r="S34" s="22">
        <f t="shared" si="16"/>
        <v>0</v>
      </c>
      <c r="T34" s="22">
        <f t="shared" si="17"/>
        <v>567426.25479141704</v>
      </c>
      <c r="U34" s="22">
        <f t="shared" si="18"/>
        <v>473395</v>
      </c>
      <c r="V34" s="91">
        <f t="shared" si="19"/>
        <v>-94031.254791417043</v>
      </c>
      <c r="W34" s="23">
        <f t="shared" si="20"/>
        <v>0</v>
      </c>
      <c r="X34" s="22">
        <f t="shared" si="21"/>
        <v>1352</v>
      </c>
      <c r="Y34" s="22">
        <f t="shared" si="22"/>
        <v>454.55314619918641</v>
      </c>
      <c r="Z34" s="22">
        <f t="shared" si="23"/>
        <v>0</v>
      </c>
      <c r="AA34" s="22">
        <f t="shared" si="24"/>
        <v>614555.85366130003</v>
      </c>
      <c r="AB34" s="22">
        <f t="shared" si="25"/>
        <v>490560</v>
      </c>
      <c r="AC34" s="91">
        <f t="shared" si="26"/>
        <v>-123995.85366130003</v>
      </c>
      <c r="AD34" s="23">
        <f t="shared" si="27"/>
        <v>0</v>
      </c>
      <c r="AE34" s="22">
        <f t="shared" si="28"/>
        <v>1352</v>
      </c>
      <c r="AF34" s="22">
        <f t="shared" si="29"/>
        <v>491.38987957723339</v>
      </c>
      <c r="AG34" s="22">
        <f t="shared" si="30"/>
        <v>0</v>
      </c>
      <c r="AH34" s="22">
        <f t="shared" si="31"/>
        <v>664359.11718841956</v>
      </c>
      <c r="AI34" s="22">
        <f t="shared" si="32"/>
        <v>527842.56000000006</v>
      </c>
      <c r="AJ34" s="91">
        <f t="shared" si="33"/>
        <v>-136516.55718841951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Survey Operations</v>
      </c>
      <c r="D35" s="222">
        <f t="shared" si="2"/>
        <v>0</v>
      </c>
      <c r="E35" s="223">
        <f t="shared" si="2"/>
        <v>0</v>
      </c>
      <c r="F35" s="80">
        <f t="shared" si="3"/>
        <v>332</v>
      </c>
      <c r="G35" s="155">
        <f t="shared" si="4"/>
        <v>412.62951807228916</v>
      </c>
      <c r="H35" s="155">
        <f t="shared" si="5"/>
        <v>136993</v>
      </c>
      <c r="I35" s="23">
        <f t="shared" si="6"/>
        <v>24</v>
      </c>
      <c r="J35" s="22">
        <f t="shared" si="7"/>
        <v>356</v>
      </c>
      <c r="K35" s="22">
        <f t="shared" si="8"/>
        <v>401.02169393841137</v>
      </c>
      <c r="L35" s="22">
        <f t="shared" si="9"/>
        <v>12393.622604435936</v>
      </c>
      <c r="M35" s="22">
        <f t="shared" si="10"/>
        <v>142763.72304207445</v>
      </c>
      <c r="N35" s="22">
        <f t="shared" si="11"/>
        <v>233698</v>
      </c>
      <c r="O35" s="91">
        <f t="shared" si="12"/>
        <v>90934.276957925555</v>
      </c>
      <c r="P35" s="23">
        <f t="shared" si="13"/>
        <v>0</v>
      </c>
      <c r="Q35" s="22">
        <f t="shared" si="14"/>
        <v>356</v>
      </c>
      <c r="R35" s="22">
        <f t="shared" si="15"/>
        <v>434.30272360081699</v>
      </c>
      <c r="S35" s="22">
        <f t="shared" si="16"/>
        <v>0</v>
      </c>
      <c r="T35" s="22">
        <f t="shared" si="17"/>
        <v>154611.76960189085</v>
      </c>
      <c r="U35" s="22">
        <f t="shared" si="18"/>
        <v>153353</v>
      </c>
      <c r="V35" s="91">
        <f t="shared" si="19"/>
        <v>-1258.7696018908464</v>
      </c>
      <c r="W35" s="23">
        <f t="shared" si="20"/>
        <v>0</v>
      </c>
      <c r="X35" s="22">
        <f t="shared" si="21"/>
        <v>356</v>
      </c>
      <c r="Y35" s="22">
        <f t="shared" si="22"/>
        <v>469.9117910606904</v>
      </c>
      <c r="Z35" s="22">
        <f t="shared" si="23"/>
        <v>0</v>
      </c>
      <c r="AA35" s="22">
        <f t="shared" si="24"/>
        <v>167288.59761760579</v>
      </c>
      <c r="AB35" s="22">
        <f t="shared" si="25"/>
        <v>137912</v>
      </c>
      <c r="AC35" s="91">
        <f t="shared" si="26"/>
        <v>-29376.597617605788</v>
      </c>
      <c r="AD35" s="23">
        <f t="shared" si="27"/>
        <v>0</v>
      </c>
      <c r="AE35" s="22">
        <f t="shared" si="28"/>
        <v>356</v>
      </c>
      <c r="AF35" s="22">
        <f t="shared" si="29"/>
        <v>507.49443587162318</v>
      </c>
      <c r="AG35" s="22">
        <f t="shared" si="30"/>
        <v>0</v>
      </c>
      <c r="AH35" s="22">
        <f t="shared" si="31"/>
        <v>180668.01917029786</v>
      </c>
      <c r="AI35" s="22">
        <f t="shared" si="32"/>
        <v>148393.31200000001</v>
      </c>
      <c r="AJ35" s="91">
        <f t="shared" si="33"/>
        <v>-32274.707170297857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3197</v>
      </c>
      <c r="G45" s="92">
        <f>IFERROR(H45/F45,0)</f>
        <v>402.99457787926178</v>
      </c>
      <c r="H45" s="92">
        <f>SUM(H29:H38)</f>
        <v>1288373.66548</v>
      </c>
      <c r="I45" s="25">
        <f>SUM(I29:I38)</f>
        <v>314</v>
      </c>
      <c r="J45" s="92">
        <f>SUM(J29:J38)</f>
        <v>3511</v>
      </c>
      <c r="K45" s="92">
        <f>IFERROR(M45/J45,0)</f>
        <v>427.29168176618833</v>
      </c>
      <c r="L45" s="92">
        <f t="shared" ref="L45:Q45" si="34">SUM(L29:L38)</f>
        <v>161433.49423663307</v>
      </c>
      <c r="M45" s="92">
        <f t="shared" si="34"/>
        <v>1500221.0946810872</v>
      </c>
      <c r="N45" s="92">
        <f>INDEX('ENE17'!$C$2:$C$48,MATCH(Results!$D$3,'ENE17'!$A$2:$A$48,0))</f>
        <v>1408390</v>
      </c>
      <c r="O45" s="129">
        <f>N45-M45</f>
        <v>-91831.094681087183</v>
      </c>
      <c r="P45" s="25">
        <f t="shared" si="34"/>
        <v>0</v>
      </c>
      <c r="Q45" s="24">
        <f t="shared" si="34"/>
        <v>3511</v>
      </c>
      <c r="R45" s="92">
        <f>IFERROR(T45/Q45,0)</f>
        <v>462.89152925163802</v>
      </c>
      <c r="S45" s="24">
        <f>SUM(S29:S38)</f>
        <v>0</v>
      </c>
      <c r="T45" s="24">
        <f>SUM(T29:T38)</f>
        <v>1625212.1592025012</v>
      </c>
      <c r="U45" s="207">
        <f>INDEX('ENE17'!$D$2:$D$48,MATCH(Results!$D$3,'ENE17'!$A$2:$A$48,0))</f>
        <v>1352218</v>
      </c>
      <c r="V45" s="24">
        <f>U45-T45</f>
        <v>-272994.15920250118</v>
      </c>
      <c r="W45" s="25">
        <f t="shared" ref="W45:X45" si="35">SUM(W29:W38)</f>
        <v>0</v>
      </c>
      <c r="X45" s="24">
        <f t="shared" si="35"/>
        <v>3511</v>
      </c>
      <c r="Y45" s="92">
        <f>IFERROR(AA45/X45,0)</f>
        <v>500.99425946162364</v>
      </c>
      <c r="Z45" s="24">
        <f t="shared" ref="Z45:AA45" si="36">SUM(Z29:Z38)</f>
        <v>0</v>
      </c>
      <c r="AA45" s="24">
        <f t="shared" si="36"/>
        <v>1758990.8449697606</v>
      </c>
      <c r="AB45" s="207">
        <f>INDEX('ENE17'!$E$2:$E$48,MATCH(Results!$D$3,'ENE17'!$A$2:$A$48,0))</f>
        <v>1428465</v>
      </c>
      <c r="AC45" s="24">
        <f>AB45-AA45</f>
        <v>-330525.84496976063</v>
      </c>
      <c r="AD45" s="25">
        <f t="shared" ref="AD45:AE45" si="37">SUM(AD29:AD38)</f>
        <v>0</v>
      </c>
      <c r="AE45" s="24">
        <f t="shared" si="37"/>
        <v>3511</v>
      </c>
      <c r="AF45" s="92">
        <f>IFERROR(AH45/AE45,0)</f>
        <v>541.22410503413244</v>
      </c>
      <c r="AG45" s="24">
        <f t="shared" ref="AG45:AH45" si="38">SUM(AG29:AG38)</f>
        <v>0</v>
      </c>
      <c r="AH45" s="24">
        <f t="shared" si="38"/>
        <v>1900237.8327748389</v>
      </c>
      <c r="AI45" s="207">
        <f>INDEX('ENE17'!$F$2:$F$48,MATCH(Results!$D$3,'ENE17'!$A$2:$A$48,0))</f>
        <v>1444929</v>
      </c>
      <c r="AJ45" s="24">
        <f>AI45-AH45</f>
        <v>-455308.8327748389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1445</v>
      </c>
      <c r="G51" s="193">
        <f>IFERROR(H51/F51,"")</f>
        <v>236.83091036678198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342220.66547999997</v>
      </c>
      <c r="I51" s="97">
        <f>SUMIFS($N$64:$N$509,$B$64:$B$509,$B51)-SUMIFS($O$64:$O$509,$B$64:$B$509,$B51)</f>
        <v>71</v>
      </c>
      <c r="J51" s="80">
        <f>SUMIFS($P$64:$P$509,$B$64:$B$509,$B51)</f>
        <v>1516</v>
      </c>
      <c r="K51" s="80">
        <f>IFERROR(M51/J51,0)</f>
        <v>231.94623812312489</v>
      </c>
      <c r="L51" s="80">
        <f>SUMIFS($R$64:$R$509,$B$64:$B$509,$B51)+SUMIFS($Q$64:$Q$509,$B$64:$B$509,$B51)</f>
        <v>16695.300852415243</v>
      </c>
      <c r="M51" s="98">
        <f>SUMIFS($S$64:$S$509,$B$64:$B$509,$B51)</f>
        <v>351630.49699465733</v>
      </c>
      <c r="N51" s="80">
        <f>SUMIFS($V$64:$V$509,$B$64:$B$509,$B51)-SUMIFS($W$64:$W$509,$B$64:$B$509,$B51)</f>
        <v>0</v>
      </c>
      <c r="O51" s="80">
        <f>SUMIFS($X$64:$X$509,$B$64:$B$509,$B51)</f>
        <v>1516</v>
      </c>
      <c r="P51" s="80">
        <f>IFERROR(R51/O51,0)</f>
        <v>251.57456934084419</v>
      </c>
      <c r="Q51" s="80">
        <f>SUMIFS($Z$64:$Z$509,$B$64:$B$509,$B51)+SUMIFS($Y$64:$Y$509,$B$64:$B$509,$B51)</f>
        <v>0</v>
      </c>
      <c r="R51" s="80">
        <f>SUMIFS($AA$64:$AA$509,$B$64:$B$509,$B51)</f>
        <v>381387.0471207198</v>
      </c>
      <c r="S51" s="97">
        <f>SUMIFS($AD$64:$AD$509,$B$64:$B$509,$B51)-SUMIFS($AE$64:$AE$509,$B$64:$B$509,$B51)</f>
        <v>0</v>
      </c>
      <c r="T51" s="80">
        <f>SUMIFS($AF$64:$AF$509,$B$64:$B$509,$B51)</f>
        <v>1516</v>
      </c>
      <c r="U51" s="80">
        <f>IFERROR(W51/T51,0)</f>
        <v>272.60904865629243</v>
      </c>
      <c r="V51" s="80">
        <f>SUMIFS($AH$64:$AH$509,$B$64:$B$509,$B51)+SUMIFS($AG$64:$AG$509,$B$64:$B$509,$B51)</f>
        <v>0</v>
      </c>
      <c r="W51" s="98">
        <f>SUMIFS($AI$64:$AI$509,$B$64:$B$509,$B51)</f>
        <v>413275.31776293932</v>
      </c>
      <c r="X51" s="80">
        <f>SUMIFS($AL$64:$AL$509,$B$64:$B$509,$B51)-SUMIFS($AM$64:$AM$509,$B$64:$B$509,$B51)</f>
        <v>0</v>
      </c>
      <c r="Y51" s="80">
        <f>SUMIFS($AN$64:$AN$509,$B$64:$B$509,$B51)</f>
        <v>1516</v>
      </c>
      <c r="Z51" s="80">
        <f>IFERROR(AB51/Y51,0)</f>
        <v>294.84980312214532</v>
      </c>
      <c r="AA51" s="80">
        <f>SUMIFS($AP$64:$AP$509,$B$64:$B$509,$B51)+SUMIFS($AO$64:$AO$509,$B$64:$B$509,$B51)</f>
        <v>0</v>
      </c>
      <c r="AB51" s="98">
        <f>SUMIFS($AQ$64:$AQ$509,$B$64:$B$509,$B51)</f>
        <v>446992.30153317231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1118</v>
      </c>
      <c r="G52" s="192">
        <f t="shared" ref="G52:G55" si="40">IFERROR(H52/F52,"")</f>
        <v>387.23255813953489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432926</v>
      </c>
      <c r="I52" s="97">
        <f>SUMIFS($N$64:$N$509,$B$64:$B$509,$B52)-SUMIFS($O$64:$O$509,$B$64:$B$509,$B52)</f>
        <v>141</v>
      </c>
      <c r="J52" s="80">
        <f>SUMIFS($P$64:$P$509,$B$64:$B$509,$B52)</f>
        <v>1259</v>
      </c>
      <c r="K52" s="80">
        <f t="shared" ref="K52:K56" si="41">IFERROR(M52/J52,0)</f>
        <v>423.16769344167841</v>
      </c>
      <c r="L52" s="80">
        <f>SUMIFS($R$64:$R$509,$B$64:$B$509,$B52)+SUMIFS($Q$64:$Q$509,$B$64:$B$509,$B52)</f>
        <v>61257.495209138389</v>
      </c>
      <c r="M52" s="98">
        <f>SUMIFS($S$64:$S$509,$B$64:$B$509,$B52)</f>
        <v>532768.12604307313</v>
      </c>
      <c r="N52" s="80">
        <f>SUMIFS($V$64:$V$509,$B$64:$B$509,$B52)-SUMIFS($W$64:$W$509,$B$64:$B$509,$B52)</f>
        <v>0</v>
      </c>
      <c r="O52" s="80">
        <f>SUMIFS($X$64:$X$509,$B$64:$B$509,$B52)</f>
        <v>1259</v>
      </c>
      <c r="P52" s="80">
        <f t="shared" ref="P52:P55" si="42">IFERROR(R52/O52,0)</f>
        <v>459.21778155630545</v>
      </c>
      <c r="Q52" s="80">
        <f>SUMIFS($Z$64:$Z$509,$B$64:$B$509,$B52)+SUMIFS($Y$64:$Y$509,$B$64:$B$509,$B52)</f>
        <v>0</v>
      </c>
      <c r="R52" s="80">
        <f>SUMIFS($AA$64:$AA$509,$B$64:$B$509,$B52)</f>
        <v>578155.18697938859</v>
      </c>
      <c r="S52" s="97">
        <f>SUMIFS($AD$64:$AD$509,$B$64:$B$509,$B52)-SUMIFS($AE$64:$AE$509,$B$64:$B$509,$B52)</f>
        <v>0</v>
      </c>
      <c r="T52" s="80">
        <f>SUMIFS($AF$64:$AF$509,$B$64:$B$509,$B52)</f>
        <v>1259</v>
      </c>
      <c r="U52" s="80">
        <f t="shared" ref="U52:U55" si="43">IFERROR(W52/T52,0)</f>
        <v>497.87340483345071</v>
      </c>
      <c r="V52" s="80">
        <f>SUMIFS($AH$64:$AH$509,$B$64:$B$509,$B52)+SUMIFS($AG$64:$AG$509,$B$64:$B$509,$B52)</f>
        <v>0</v>
      </c>
      <c r="W52" s="98">
        <f>SUMIFS($AI$64:$AI$509,$B$64:$B$509,$B52)</f>
        <v>626822.61668531445</v>
      </c>
      <c r="X52" s="80">
        <f>SUMIFS($AL$64:$AL$509,$B$64:$B$509,$B52)-SUMIFS($AM$64:$AM$509,$B$64:$B$509,$B52)</f>
        <v>0</v>
      </c>
      <c r="Y52" s="80">
        <f>SUMIFS($AN$64:$AN$509,$B$64:$B$509,$B52)</f>
        <v>1259</v>
      </c>
      <c r="Z52" s="80">
        <f t="shared" ref="Z52:Z55" si="44">IFERROR(AB52/Y52,0)</f>
        <v>538.77333134861431</v>
      </c>
      <c r="AA52" s="80">
        <f>SUMIFS($AP$64:$AP$509,$B$64:$B$509,$B52)+SUMIFS($AO$64:$AO$509,$B$64:$B$509,$B52)</f>
        <v>0</v>
      </c>
      <c r="AB52" s="98">
        <f>SUMIFS($AQ$64:$AQ$509,$B$64:$B$509,$B52)</f>
        <v>678315.62416790542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402</v>
      </c>
      <c r="G53" s="192">
        <f t="shared" si="40"/>
        <v>662.40049751243782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266285</v>
      </c>
      <c r="I53" s="97">
        <f>SUMIFS($N$64:$N$509,$B$64:$B$509,$B53)-SUMIFS($O$64:$O$509,$B$64:$B$509,$B53)</f>
        <v>69</v>
      </c>
      <c r="J53" s="80">
        <f>SUMIFS($P$64:$P$509,$B$64:$B$509,$B53)</f>
        <v>471</v>
      </c>
      <c r="K53" s="80">
        <f t="shared" si="41"/>
        <v>718.76040225427857</v>
      </c>
      <c r="L53" s="80">
        <f>SUMIFS($R$64:$R$509,$B$64:$B$509,$B53)+SUMIFS($Q$64:$Q$509,$B$64:$B$509,$B53)</f>
        <v>47848.698481078973</v>
      </c>
      <c r="M53" s="98">
        <f>SUMIFS($S$64:$S$509,$B$64:$B$509,$B53)</f>
        <v>338536.14946176519</v>
      </c>
      <c r="N53" s="80">
        <f>SUMIFS($V$64:$V$509,$B$64:$B$509,$B53)-SUMIFS($W$64:$W$509,$B$64:$B$509,$B53)</f>
        <v>0</v>
      </c>
      <c r="O53" s="80">
        <f>SUMIFS($X$64:$X$509,$B$64:$B$509,$B53)</f>
        <v>471</v>
      </c>
      <c r="P53" s="80">
        <f t="shared" si="42"/>
        <v>780.2511327947351</v>
      </c>
      <c r="Q53" s="80">
        <f>SUMIFS($Z$64:$Z$509,$B$64:$B$509,$B53)+SUMIFS($Y$64:$Y$509,$B$64:$B$509,$B53)</f>
        <v>0</v>
      </c>
      <c r="R53" s="80">
        <f>SUMIFS($AA$64:$AA$509,$B$64:$B$509,$B53)</f>
        <v>367498.28354632022</v>
      </c>
      <c r="S53" s="97">
        <f>SUMIFS($AD$64:$AD$509,$B$64:$B$509,$B53)-SUMIFS($AE$64:$AE$509,$B$64:$B$509,$B53)</f>
        <v>0</v>
      </c>
      <c r="T53" s="80">
        <f>SUMIFS($AF$64:$AF$509,$B$64:$B$509,$B53)</f>
        <v>471</v>
      </c>
      <c r="U53" s="80">
        <f t="shared" si="43"/>
        <v>846.21087542112139</v>
      </c>
      <c r="V53" s="80">
        <f>SUMIFS($AH$64:$AH$509,$B$64:$B$509,$B53)+SUMIFS($AG$64:$AG$509,$B$64:$B$509,$B53)</f>
        <v>0</v>
      </c>
      <c r="W53" s="98">
        <f>SUMIFS($AI$64:$AI$509,$B$64:$B$509,$B53)</f>
        <v>398565.3223233482</v>
      </c>
      <c r="X53" s="80">
        <f>SUMIFS($AL$64:$AL$509,$B$64:$B$509,$B53)-SUMIFS($AM$64:$AM$509,$B$64:$B$509,$B53)</f>
        <v>0</v>
      </c>
      <c r="Y53" s="80">
        <f>SUMIFS($AN$64:$AN$509,$B$64:$B$509,$B53)</f>
        <v>471</v>
      </c>
      <c r="Z53" s="80">
        <f t="shared" si="44"/>
        <v>916.02961347968494</v>
      </c>
      <c r="AA53" s="80">
        <f>SUMIFS($AP$64:$AP$509,$B$64:$B$509,$B53)+SUMIFS($AO$64:$AO$509,$B$64:$B$509,$B53)</f>
        <v>0</v>
      </c>
      <c r="AB53" s="98">
        <f>SUMIFS($AQ$64:$AQ$509,$B$64:$B$509,$B53)</f>
        <v>431449.9479489316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232</v>
      </c>
      <c r="G54" s="192">
        <f t="shared" si="40"/>
        <v>993.98275862068965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230604</v>
      </c>
      <c r="I54" s="97">
        <f>SUMIFS($N$64:$N$509,$B$64:$B$509,$B54)-SUMIFS($O$64:$O$509,$B$64:$B$509,$B54)</f>
        <v>33</v>
      </c>
      <c r="J54" s="80">
        <f>SUMIFS($P$64:$P$509,$B$64:$B$509,$B54)</f>
        <v>265</v>
      </c>
      <c r="K54" s="80">
        <f t="shared" si="41"/>
        <v>1046.3634799305339</v>
      </c>
      <c r="L54" s="80">
        <f>SUMIFS($R$64:$R$509,$B$64:$B$509,$B54)+SUMIFS($Q$64:$Q$509,$B$64:$B$509,$B54)</f>
        <v>35631.99969400042</v>
      </c>
      <c r="M54" s="98">
        <f>SUMIFS($S$64:$S$509,$B$64:$B$509,$B54)</f>
        <v>277286.32218159147</v>
      </c>
      <c r="N54" s="80">
        <f>SUMIFS($V$64:$V$509,$B$64:$B$509,$B54)-SUMIFS($W$64:$W$509,$B$64:$B$509,$B54)</f>
        <v>0</v>
      </c>
      <c r="O54" s="80">
        <f>SUMIFS($X$64:$X$509,$B$64:$B$509,$B54)</f>
        <v>265</v>
      </c>
      <c r="P54" s="80">
        <f t="shared" si="42"/>
        <v>1125.1760058719715</v>
      </c>
      <c r="Q54" s="80">
        <f>SUMIFS($Z$64:$Z$509,$B$64:$B$509,$B54)+SUMIFS($Y$64:$Y$509,$B$64:$B$509,$B54)</f>
        <v>0</v>
      </c>
      <c r="R54" s="80">
        <f>SUMIFS($AA$64:$AA$509,$B$64:$B$509,$B54)</f>
        <v>298171.64155607246</v>
      </c>
      <c r="S54" s="97">
        <f>SUMIFS($AD$64:$AD$509,$B$64:$B$509,$B54)-SUMIFS($AE$64:$AE$509,$B$64:$B$509,$B54)</f>
        <v>0</v>
      </c>
      <c r="T54" s="80">
        <f>SUMIFS($AF$64:$AF$509,$B$64:$B$509,$B54)</f>
        <v>265</v>
      </c>
      <c r="U54" s="80">
        <f t="shared" si="43"/>
        <v>1208.7833516911649</v>
      </c>
      <c r="V54" s="80">
        <f>SUMIFS($AH$64:$AH$509,$B$64:$B$509,$B54)+SUMIFS($AG$64:$AG$509,$B$64:$B$509,$B54)</f>
        <v>0</v>
      </c>
      <c r="W54" s="98">
        <f>SUMIFS($AI$64:$AI$509,$B$64:$B$509,$B54)</f>
        <v>320327.58819815872</v>
      </c>
      <c r="X54" s="80">
        <f>SUMIFS($AL$64:$AL$509,$B$64:$B$509,$B54)-SUMIFS($AM$64:$AM$509,$B$64:$B$509,$B54)</f>
        <v>0</v>
      </c>
      <c r="Y54" s="80">
        <f>SUMIFS($AN$64:$AN$509,$B$64:$B$509,$B54)</f>
        <v>265</v>
      </c>
      <c r="Z54" s="80">
        <f t="shared" si="44"/>
        <v>1296.1507891503022</v>
      </c>
      <c r="AA54" s="80">
        <f>SUMIFS($AP$64:$AP$509,$B$64:$B$509,$B54)+SUMIFS($AO$64:$AO$509,$B$64:$B$509,$B54)</f>
        <v>0</v>
      </c>
      <c r="AB54" s="98">
        <f>SUMIFS($AQ$64:$AQ$509,$B$64:$B$509,$B54)</f>
        <v>343479.95912483009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16338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3197</v>
      </c>
      <c r="G56" s="92">
        <f t="shared" ref="G56" si="45">IFERROR(H56/F56,0)</f>
        <v>402.99457787926178</v>
      </c>
      <c r="H56" s="92">
        <f>SUM(H51:H55)</f>
        <v>1288373.66548</v>
      </c>
      <c r="I56" s="92">
        <f>SUM(I51:I55)</f>
        <v>314</v>
      </c>
      <c r="J56" s="92">
        <f>SUM(J51:J55)</f>
        <v>3511</v>
      </c>
      <c r="K56" s="92">
        <f t="shared" si="41"/>
        <v>427.29168176618833</v>
      </c>
      <c r="L56" s="92">
        <f>SUM(L51:L55)</f>
        <v>161433.49423663301</v>
      </c>
      <c r="M56" s="92">
        <f>SUM(M51:M55)</f>
        <v>1500221.0946810872</v>
      </c>
      <c r="N56" s="92">
        <f t="shared" ref="N56:O56" si="46">SUM(N51:N55)</f>
        <v>0</v>
      </c>
      <c r="O56" s="92">
        <f t="shared" si="46"/>
        <v>3511</v>
      </c>
      <c r="P56" s="92">
        <f>IFERROR(R56/O56,0)</f>
        <v>462.89152925163802</v>
      </c>
      <c r="Q56" s="92">
        <f t="shared" ref="Q56" si="47">SUM(Q51:Q55)</f>
        <v>0</v>
      </c>
      <c r="R56" s="92">
        <f t="shared" ref="R56:T56" si="48">SUM(R51:R55)</f>
        <v>1625212.1592025012</v>
      </c>
      <c r="S56" s="92">
        <f t="shared" si="48"/>
        <v>0</v>
      </c>
      <c r="T56" s="92">
        <f t="shared" si="48"/>
        <v>3511</v>
      </c>
      <c r="U56" s="92">
        <f>IFERROR(W56/T56,0)</f>
        <v>500.99425946162364</v>
      </c>
      <c r="V56" s="92">
        <f t="shared" ref="V56" si="49">SUM(V51:V55)</f>
        <v>0</v>
      </c>
      <c r="W56" s="92">
        <f t="shared" ref="W56:Y56" si="50">SUM(W51:W55)</f>
        <v>1758990.8449697606</v>
      </c>
      <c r="X56" s="92">
        <f t="shared" si="50"/>
        <v>0</v>
      </c>
      <c r="Y56" s="92">
        <f t="shared" si="50"/>
        <v>3511</v>
      </c>
      <c r="Z56" s="92">
        <f>IFERROR(AB56/Y56,0)</f>
        <v>541.22410503413255</v>
      </c>
      <c r="AA56" s="92">
        <f t="shared" ref="AA56" si="51">SUM(AA51:AA55)</f>
        <v>0</v>
      </c>
      <c r="AB56" s="104">
        <f t="shared" ref="AB56" si="52">SUM(AB51:AB55)</f>
        <v>1900237.8327748394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148</v>
      </c>
      <c r="G64" s="35">
        <f>SUMIFS(WORKING!$AC$3:$AC$6802,WORKING!$A$3:$A$6802,Results!$D$3,WORKING!$B$3:$B$6802,Results!A64,WORKING!$C$3:$C$6802,Results!C64)/1000</f>
        <v>8718.1132799999996</v>
      </c>
      <c r="H64" s="35">
        <f>IFERROR(G64/F64,0)</f>
        <v>58.906170810810806</v>
      </c>
      <c r="I64" s="156">
        <v>0</v>
      </c>
      <c r="J64" s="211">
        <v>8828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64.333707828985126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69.869539153370354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75.810804018224815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82.103380822412177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2</v>
      </c>
      <c r="G65" s="35">
        <f>SUMIFS(WORKING!$AC$3:$AC$6802,WORKING!$A$3:$A$6802,Results!$D$3,WORKING!$B$3:$B$6802,Results!A65,WORKING!$C$3:$C$6802,Results!C65)/1000</f>
        <v>228.87227999999999</v>
      </c>
      <c r="H65" s="35">
        <f t="shared" ref="H65:H80" si="60">IFERROR(G65/F65,0)</f>
        <v>114.43613999999999</v>
      </c>
      <c r="I65" s="187">
        <v>2</v>
      </c>
      <c r="J65" s="212">
        <v>228</v>
      </c>
      <c r="K65" s="217">
        <f t="shared" ref="K65:K80" si="61">IFERROR(IF(J65="",G65,J65)/IF(I65="",F65,I65),"")</f>
        <v>114</v>
      </c>
      <c r="L65" s="34">
        <f t="shared" si="54"/>
        <v>2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123.24383857779385</v>
      </c>
      <c r="N65" s="57">
        <v>0</v>
      </c>
      <c r="O65" s="57">
        <v>0</v>
      </c>
      <c r="P65" s="61">
        <f t="shared" si="55"/>
        <v>2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246.4876771555877</v>
      </c>
      <c r="T65" s="35">
        <f t="shared" ref="T65:T80" si="65">P65</f>
        <v>2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133.4639455759748</v>
      </c>
      <c r="V65" s="57">
        <v>0</v>
      </c>
      <c r="W65" s="57">
        <v>0</v>
      </c>
      <c r="X65" s="61">
        <f t="shared" si="56"/>
        <v>2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266.92789115194961</v>
      </c>
      <c r="AB65" s="35">
        <f t="shared" ref="AB65:AB80" si="69">X65</f>
        <v>2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144.3963965864634</v>
      </c>
      <c r="AD65" s="57">
        <v>0</v>
      </c>
      <c r="AE65" s="57">
        <v>0</v>
      </c>
      <c r="AF65" s="61">
        <f t="shared" si="57"/>
        <v>2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288.79279317292679</v>
      </c>
      <c r="AJ65" s="35">
        <f t="shared" si="58"/>
        <v>2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155.931879746487</v>
      </c>
      <c r="AL65" s="57">
        <v>0</v>
      </c>
      <c r="AM65" s="57">
        <v>0</v>
      </c>
      <c r="AN65" s="61">
        <f t="shared" si="59"/>
        <v>2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311.863759492974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8</v>
      </c>
      <c r="G66" s="35">
        <f>SUMIFS(WORKING!$AC$3:$AC$6802,WORKING!$A$3:$A$6802,Results!$D$3,WORKING!$B$3:$B$6802,Results!A66,WORKING!$C$3:$C$6802,Results!C66)/1000</f>
        <v>191.96256000000002</v>
      </c>
      <c r="H66" s="35">
        <f t="shared" si="60"/>
        <v>23.995320000000003</v>
      </c>
      <c r="I66" s="187">
        <v>0</v>
      </c>
      <c r="J66" s="212">
        <v>191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26.205966496200009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28.460683336966408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30.880504902167075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33.443380962114816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90</v>
      </c>
      <c r="G67" s="35">
        <f>SUMIFS(WORKING!$AC$3:$AC$6802,WORKING!$A$3:$A$6802,Results!$D$3,WORKING!$B$3:$B$6802,Results!A67,WORKING!$C$3:$C$6802,Results!C67)/1000</f>
        <v>13237.157650000003</v>
      </c>
      <c r="H67" s="35">
        <f t="shared" si="60"/>
        <v>147.07952944444449</v>
      </c>
      <c r="I67" s="187">
        <v>45</v>
      </c>
      <c r="J67" s="212">
        <v>13378</v>
      </c>
      <c r="K67" s="217">
        <f t="shared" si="61"/>
        <v>297.28888888888889</v>
      </c>
      <c r="L67" s="34">
        <f t="shared" si="54"/>
        <v>45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322.93537149983018</v>
      </c>
      <c r="N67" s="57">
        <v>5</v>
      </c>
      <c r="O67" s="57">
        <v>0</v>
      </c>
      <c r="P67" s="61">
        <f t="shared" si="55"/>
        <v>50</v>
      </c>
      <c r="Q67" s="40">
        <f t="shared" si="62"/>
        <v>1614.6768574991509</v>
      </c>
      <c r="R67" s="40">
        <f t="shared" si="63"/>
        <v>0</v>
      </c>
      <c r="S67" s="44">
        <f t="shared" si="64"/>
        <v>16146.768574991509</v>
      </c>
      <c r="T67" s="35">
        <f t="shared" si="65"/>
        <v>50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350.18358935033166</v>
      </c>
      <c r="V67" s="57">
        <v>0</v>
      </c>
      <c r="W67" s="57">
        <v>0</v>
      </c>
      <c r="X67" s="61">
        <f t="shared" si="56"/>
        <v>50</v>
      </c>
      <c r="Y67" s="40">
        <f t="shared" si="66"/>
        <v>0</v>
      </c>
      <c r="Z67" s="40">
        <f t="shared" si="67"/>
        <v>0</v>
      </c>
      <c r="AA67" s="44">
        <f t="shared" si="68"/>
        <v>17509.179467516584</v>
      </c>
      <c r="AB67" s="35">
        <f t="shared" si="69"/>
        <v>50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379.37612112272262</v>
      </c>
      <c r="AD67" s="57">
        <v>0</v>
      </c>
      <c r="AE67" s="57">
        <v>0</v>
      </c>
      <c r="AF67" s="61">
        <f t="shared" si="57"/>
        <v>50</v>
      </c>
      <c r="AG67" s="40">
        <f t="shared" si="70"/>
        <v>0</v>
      </c>
      <c r="AH67" s="40">
        <f t="shared" si="71"/>
        <v>0</v>
      </c>
      <c r="AI67" s="44">
        <f t="shared" si="72"/>
        <v>18968.806056136131</v>
      </c>
      <c r="AJ67" s="35">
        <f t="shared" si="58"/>
        <v>50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410.23348882636208</v>
      </c>
      <c r="AL67" s="57">
        <v>0</v>
      </c>
      <c r="AM67" s="57">
        <v>0</v>
      </c>
      <c r="AN67" s="61">
        <f t="shared" si="59"/>
        <v>50</v>
      </c>
      <c r="AO67" s="40">
        <f t="shared" si="73"/>
        <v>0</v>
      </c>
      <c r="AP67" s="40">
        <f t="shared" si="74"/>
        <v>0</v>
      </c>
      <c r="AQ67" s="44">
        <f t="shared" si="75"/>
        <v>20511.674441318104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44</v>
      </c>
      <c r="G68" s="35">
        <f>SUMIFS(WORKING!$AC$3:$AC$6802,WORKING!$A$3:$A$6802,Results!$D$3,WORKING!$B$3:$B$6802,Results!A68,WORKING!$C$3:$C$6802,Results!C68)/1000</f>
        <v>10670.658060000002</v>
      </c>
      <c r="H68" s="35">
        <f t="shared" si="60"/>
        <v>242.51495590909096</v>
      </c>
      <c r="I68" s="187">
        <v>63</v>
      </c>
      <c r="J68" s="212">
        <v>10755</v>
      </c>
      <c r="K68" s="217">
        <f t="shared" si="61"/>
        <v>170.71428571428572</v>
      </c>
      <c r="L68" s="34">
        <f t="shared" si="54"/>
        <v>63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185.75050655651475</v>
      </c>
      <c r="N68" s="57">
        <v>7</v>
      </c>
      <c r="O68" s="57">
        <v>0</v>
      </c>
      <c r="P68" s="61">
        <f t="shared" si="55"/>
        <v>70</v>
      </c>
      <c r="Q68" s="40">
        <f t="shared" si="62"/>
        <v>1300.2535458956033</v>
      </c>
      <c r="R68" s="40">
        <f t="shared" si="63"/>
        <v>0</v>
      </c>
      <c r="S68" s="44">
        <f t="shared" si="64"/>
        <v>13002.535458956032</v>
      </c>
      <c r="T68" s="35">
        <f t="shared" si="65"/>
        <v>70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201.52007593525229</v>
      </c>
      <c r="V68" s="57">
        <v>0</v>
      </c>
      <c r="W68" s="57">
        <v>0</v>
      </c>
      <c r="X68" s="61">
        <f t="shared" si="56"/>
        <v>70</v>
      </c>
      <c r="Y68" s="40">
        <f t="shared" si="66"/>
        <v>0</v>
      </c>
      <c r="Z68" s="40">
        <f t="shared" si="67"/>
        <v>0</v>
      </c>
      <c r="AA68" s="44">
        <f t="shared" si="68"/>
        <v>14106.40531546766</v>
      </c>
      <c r="AB68" s="35">
        <f t="shared" si="69"/>
        <v>70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218.42410581730584</v>
      </c>
      <c r="AD68" s="57">
        <v>0</v>
      </c>
      <c r="AE68" s="57">
        <v>0</v>
      </c>
      <c r="AF68" s="61">
        <f t="shared" si="57"/>
        <v>70</v>
      </c>
      <c r="AG68" s="40">
        <f t="shared" si="70"/>
        <v>0</v>
      </c>
      <c r="AH68" s="40">
        <f t="shared" si="71"/>
        <v>0</v>
      </c>
      <c r="AI68" s="44">
        <f t="shared" si="72"/>
        <v>15289.68740721141</v>
      </c>
      <c r="AJ68" s="35">
        <f t="shared" si="58"/>
        <v>70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236.30317016368787</v>
      </c>
      <c r="AL68" s="57">
        <v>0</v>
      </c>
      <c r="AM68" s="57">
        <v>0</v>
      </c>
      <c r="AN68" s="61">
        <f t="shared" si="59"/>
        <v>70</v>
      </c>
      <c r="AO68" s="40">
        <f t="shared" si="73"/>
        <v>0</v>
      </c>
      <c r="AP68" s="40">
        <f t="shared" si="74"/>
        <v>0</v>
      </c>
      <c r="AQ68" s="44">
        <f t="shared" si="75"/>
        <v>16541.221911458149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25</v>
      </c>
      <c r="G69" s="35">
        <f>SUMIFS(WORKING!$AC$3:$AC$6802,WORKING!$A$3:$A$6802,Results!$D$3,WORKING!$B$3:$B$6802,Results!A69,WORKING!$C$3:$C$6802,Results!C69)/1000</f>
        <v>5520.8484600000002</v>
      </c>
      <c r="H69" s="35">
        <f t="shared" si="60"/>
        <v>220.83393839999999</v>
      </c>
      <c r="I69" s="187">
        <v>57</v>
      </c>
      <c r="J69" s="212">
        <v>5588</v>
      </c>
      <c r="K69" s="217">
        <f t="shared" si="61"/>
        <v>98.035087719298247</v>
      </c>
      <c r="L69" s="34">
        <f t="shared" si="54"/>
        <v>57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106.59576492707878</v>
      </c>
      <c r="N69" s="57">
        <v>5</v>
      </c>
      <c r="O69" s="57">
        <v>0</v>
      </c>
      <c r="P69" s="61">
        <f t="shared" si="55"/>
        <v>62</v>
      </c>
      <c r="Q69" s="40">
        <f t="shared" si="62"/>
        <v>532.97882463539383</v>
      </c>
      <c r="R69" s="40">
        <f t="shared" si="63"/>
        <v>0</v>
      </c>
      <c r="S69" s="44">
        <f t="shared" si="64"/>
        <v>6608.9374254788845</v>
      </c>
      <c r="T69" s="35">
        <f t="shared" si="65"/>
        <v>62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115.62210448883546</v>
      </c>
      <c r="V69" s="57">
        <v>0</v>
      </c>
      <c r="W69" s="57">
        <v>0</v>
      </c>
      <c r="X69" s="61">
        <f t="shared" si="56"/>
        <v>62</v>
      </c>
      <c r="Y69" s="40">
        <f t="shared" si="66"/>
        <v>0</v>
      </c>
      <c r="Z69" s="40">
        <f t="shared" si="67"/>
        <v>0</v>
      </c>
      <c r="AA69" s="44">
        <f t="shared" si="68"/>
        <v>7168.570478307799</v>
      </c>
      <c r="AB69" s="35">
        <f t="shared" si="69"/>
        <v>62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125.29559418083041</v>
      </c>
      <c r="AD69" s="57">
        <v>0</v>
      </c>
      <c r="AE69" s="57">
        <v>0</v>
      </c>
      <c r="AF69" s="61">
        <f t="shared" si="57"/>
        <v>62</v>
      </c>
      <c r="AG69" s="40">
        <f t="shared" si="70"/>
        <v>0</v>
      </c>
      <c r="AH69" s="40">
        <f t="shared" si="71"/>
        <v>0</v>
      </c>
      <c r="AI69" s="44">
        <f t="shared" si="72"/>
        <v>7768.3268392114851</v>
      </c>
      <c r="AJ69" s="35">
        <f t="shared" si="58"/>
        <v>62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135.52443673921664</v>
      </c>
      <c r="AL69" s="57">
        <v>0</v>
      </c>
      <c r="AM69" s="57">
        <v>0</v>
      </c>
      <c r="AN69" s="61">
        <f t="shared" si="59"/>
        <v>62</v>
      </c>
      <c r="AO69" s="40">
        <f t="shared" si="73"/>
        <v>0</v>
      </c>
      <c r="AP69" s="40">
        <f t="shared" si="74"/>
        <v>0</v>
      </c>
      <c r="AQ69" s="44">
        <f t="shared" si="75"/>
        <v>8402.515077831431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94</v>
      </c>
      <c r="G70" s="35">
        <f>SUMIFS(WORKING!$AC$3:$AC$6802,WORKING!$A$3:$A$6802,Results!$D$3,WORKING!$B$3:$B$6802,Results!A70,WORKING!$C$3:$C$6802,Results!C70)/1000</f>
        <v>26348.382150000001</v>
      </c>
      <c r="H70" s="35">
        <f t="shared" si="60"/>
        <v>280.30193776595746</v>
      </c>
      <c r="I70" s="187">
        <v>89</v>
      </c>
      <c r="J70" s="212">
        <v>26699</v>
      </c>
      <c r="K70" s="217">
        <f t="shared" si="61"/>
        <v>299.98876404494382</v>
      </c>
      <c r="L70" s="34">
        <f t="shared" si="54"/>
        <v>89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326.41678476145194</v>
      </c>
      <c r="N70" s="57">
        <v>13</v>
      </c>
      <c r="O70" s="57">
        <v>0</v>
      </c>
      <c r="P70" s="61">
        <f t="shared" si="55"/>
        <v>102</v>
      </c>
      <c r="Q70" s="40">
        <f t="shared" si="62"/>
        <v>4243.4182018988749</v>
      </c>
      <c r="R70" s="40">
        <f t="shared" si="63"/>
        <v>0</v>
      </c>
      <c r="S70" s="44">
        <f t="shared" si="64"/>
        <v>33294.512045668096</v>
      </c>
      <c r="T70" s="35">
        <f t="shared" si="65"/>
        <v>102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354.12848485546971</v>
      </c>
      <c r="V70" s="57">
        <v>0</v>
      </c>
      <c r="W70" s="57">
        <v>0</v>
      </c>
      <c r="X70" s="61">
        <f t="shared" si="56"/>
        <v>102</v>
      </c>
      <c r="Y70" s="40">
        <f t="shared" si="66"/>
        <v>0</v>
      </c>
      <c r="Z70" s="40">
        <f t="shared" si="67"/>
        <v>0</v>
      </c>
      <c r="AA70" s="44">
        <f t="shared" si="68"/>
        <v>36121.105455257908</v>
      </c>
      <c r="AB70" s="35">
        <f t="shared" si="69"/>
        <v>102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383.83385486954671</v>
      </c>
      <c r="AD70" s="57">
        <v>0</v>
      </c>
      <c r="AE70" s="57">
        <v>0</v>
      </c>
      <c r="AF70" s="61">
        <f t="shared" si="57"/>
        <v>102</v>
      </c>
      <c r="AG70" s="40">
        <f t="shared" si="70"/>
        <v>0</v>
      </c>
      <c r="AH70" s="40">
        <f t="shared" si="71"/>
        <v>0</v>
      </c>
      <c r="AI70" s="44">
        <f t="shared" si="72"/>
        <v>39151.053196693763</v>
      </c>
      <c r="AJ70" s="35">
        <f t="shared" si="58"/>
        <v>102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415.25285715634936</v>
      </c>
      <c r="AL70" s="57">
        <v>0</v>
      </c>
      <c r="AM70" s="57">
        <v>0</v>
      </c>
      <c r="AN70" s="61">
        <f t="shared" si="59"/>
        <v>102</v>
      </c>
      <c r="AO70" s="40">
        <f t="shared" si="73"/>
        <v>0</v>
      </c>
      <c r="AP70" s="40">
        <f t="shared" si="74"/>
        <v>0</v>
      </c>
      <c r="AQ70" s="44">
        <f t="shared" si="75"/>
        <v>42355.791429947632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47</v>
      </c>
      <c r="G71" s="35">
        <f>SUMIFS(WORKING!$AC$3:$AC$6802,WORKING!$A$3:$A$6802,Results!$D$3,WORKING!$B$3:$B$6802,Results!A71,WORKING!$C$3:$C$6802,Results!C71)/1000</f>
        <v>16680.803130000004</v>
      </c>
      <c r="H71" s="35">
        <f>IFERROR(G71/F71,0)</f>
        <v>354.91070489361709</v>
      </c>
      <c r="I71" s="187">
        <v>45</v>
      </c>
      <c r="J71" s="212">
        <v>16900</v>
      </c>
      <c r="K71" s="217">
        <f t="shared" si="61"/>
        <v>375.55555555555554</v>
      </c>
      <c r="L71" s="34">
        <f t="shared" si="54"/>
        <v>45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408.90402941434024</v>
      </c>
      <c r="N71" s="57">
        <v>7</v>
      </c>
      <c r="O71" s="57">
        <v>0</v>
      </c>
      <c r="P71" s="61">
        <f t="shared" si="55"/>
        <v>52</v>
      </c>
      <c r="Q71" s="40">
        <f t="shared" si="62"/>
        <v>2862.3282059003818</v>
      </c>
      <c r="R71" s="40">
        <f t="shared" si="63"/>
        <v>0</v>
      </c>
      <c r="S71" s="44">
        <f t="shared" si="64"/>
        <v>21263.009529545692</v>
      </c>
      <c r="T71" s="35">
        <f t="shared" si="65"/>
        <v>52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443.70033656330213</v>
      </c>
      <c r="V71" s="57">
        <v>0</v>
      </c>
      <c r="W71" s="57">
        <v>0</v>
      </c>
      <c r="X71" s="61">
        <f t="shared" si="56"/>
        <v>52</v>
      </c>
      <c r="Y71" s="40">
        <f t="shared" si="66"/>
        <v>0</v>
      </c>
      <c r="Z71" s="40">
        <f t="shared" si="67"/>
        <v>0</v>
      </c>
      <c r="AA71" s="44">
        <f t="shared" si="68"/>
        <v>23072.417501291711</v>
      </c>
      <c r="AB71" s="35">
        <f t="shared" si="69"/>
        <v>52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481.00783729450751</v>
      </c>
      <c r="AD71" s="57">
        <v>0</v>
      </c>
      <c r="AE71" s="57">
        <v>0</v>
      </c>
      <c r="AF71" s="61">
        <f t="shared" si="57"/>
        <v>52</v>
      </c>
      <c r="AG71" s="40">
        <f t="shared" si="70"/>
        <v>0</v>
      </c>
      <c r="AH71" s="40">
        <f t="shared" si="71"/>
        <v>0</v>
      </c>
      <c r="AI71" s="44">
        <f t="shared" si="72"/>
        <v>25012.40753931439</v>
      </c>
      <c r="AJ71" s="35">
        <f t="shared" si="58"/>
        <v>52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520.47690064499432</v>
      </c>
      <c r="AL71" s="57">
        <v>0</v>
      </c>
      <c r="AM71" s="57">
        <v>0</v>
      </c>
      <c r="AN71" s="61">
        <f t="shared" si="59"/>
        <v>52</v>
      </c>
      <c r="AO71" s="40">
        <f t="shared" si="73"/>
        <v>0</v>
      </c>
      <c r="AP71" s="40">
        <f t="shared" si="74"/>
        <v>0</v>
      </c>
      <c r="AQ71" s="44">
        <f t="shared" si="75"/>
        <v>27064.798833539706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90</v>
      </c>
      <c r="G72" s="35">
        <f>SUMIFS(WORKING!$AC$3:$AC$6802,WORKING!$A$3:$A$6802,Results!$D$3,WORKING!$B$3:$B$6802,Results!A72,WORKING!$C$3:$C$6802,Results!C72)/1000</f>
        <v>38382.512750000002</v>
      </c>
      <c r="H72" s="35">
        <f t="shared" si="60"/>
        <v>426.47236388888894</v>
      </c>
      <c r="I72" s="187">
        <v>94</v>
      </c>
      <c r="J72" s="212">
        <v>38738</v>
      </c>
      <c r="K72" s="217">
        <f>IFERROR(IF(J72="",G72,J72)/IF(I72="",F72,I72),"")</f>
        <v>412.10638297872339</v>
      </c>
      <c r="L72" s="34">
        <f t="shared" si="54"/>
        <v>94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448.89153179029472</v>
      </c>
      <c r="N72" s="57">
        <v>31</v>
      </c>
      <c r="O72" s="57">
        <v>0</v>
      </c>
      <c r="P72" s="61">
        <f t="shared" si="55"/>
        <v>125</v>
      </c>
      <c r="Q72" s="40">
        <f t="shared" si="62"/>
        <v>13915.637485499137</v>
      </c>
      <c r="R72" s="40">
        <f t="shared" si="63"/>
        <v>0</v>
      </c>
      <c r="S72" s="44">
        <f t="shared" si="64"/>
        <v>56111.441473786843</v>
      </c>
      <c r="T72" s="35">
        <f t="shared" si="65"/>
        <v>125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487.15014260593966</v>
      </c>
      <c r="V72" s="57">
        <v>0</v>
      </c>
      <c r="W72" s="57">
        <v>0</v>
      </c>
      <c r="X72" s="61">
        <f t="shared" si="56"/>
        <v>125</v>
      </c>
      <c r="Y72" s="40">
        <f t="shared" si="66"/>
        <v>0</v>
      </c>
      <c r="Z72" s="40">
        <f t="shared" si="67"/>
        <v>0</v>
      </c>
      <c r="AA72" s="44">
        <f t="shared" si="68"/>
        <v>60893.767825742456</v>
      </c>
      <c r="AB72" s="35">
        <f t="shared" si="69"/>
        <v>125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528.17551502824597</v>
      </c>
      <c r="AD72" s="57">
        <v>0</v>
      </c>
      <c r="AE72" s="57">
        <v>0</v>
      </c>
      <c r="AF72" s="61">
        <f t="shared" si="57"/>
        <v>125</v>
      </c>
      <c r="AG72" s="40">
        <f t="shared" si="70"/>
        <v>0</v>
      </c>
      <c r="AH72" s="40">
        <f t="shared" si="71"/>
        <v>0</v>
      </c>
      <c r="AI72" s="44">
        <f t="shared" si="72"/>
        <v>66021.939378530747</v>
      </c>
      <c r="AJ72" s="35">
        <f t="shared" si="58"/>
        <v>125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571.58467034650414</v>
      </c>
      <c r="AL72" s="57">
        <v>0</v>
      </c>
      <c r="AM72" s="57">
        <v>0</v>
      </c>
      <c r="AN72" s="61">
        <f t="shared" si="59"/>
        <v>125</v>
      </c>
      <c r="AO72" s="40">
        <f t="shared" si="73"/>
        <v>0</v>
      </c>
      <c r="AP72" s="40">
        <f t="shared" si="74"/>
        <v>0</v>
      </c>
      <c r="AQ72" s="44">
        <f t="shared" si="75"/>
        <v>71448.083793313024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19</v>
      </c>
      <c r="G73" s="35">
        <f>SUMIFS(WORKING!$AC$3:$AC$6802,WORKING!$A$3:$A$6802,Results!$D$3,WORKING!$B$3:$B$6802,Results!A73,WORKING!$C$3:$C$6802,Results!C73)/1000</f>
        <v>11401.91685</v>
      </c>
      <c r="H73" s="35">
        <f t="shared" si="60"/>
        <v>600.1008868421053</v>
      </c>
      <c r="I73" s="187">
        <v>18</v>
      </c>
      <c r="J73" s="212">
        <v>11508</v>
      </c>
      <c r="K73" s="217">
        <f t="shared" si="61"/>
        <v>639.33333333333337</v>
      </c>
      <c r="L73" s="34">
        <f t="shared" si="54"/>
        <v>18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696.77478584090136</v>
      </c>
      <c r="N73" s="57">
        <v>3</v>
      </c>
      <c r="O73" s="57">
        <v>0</v>
      </c>
      <c r="P73" s="61">
        <f t="shared" si="55"/>
        <v>21</v>
      </c>
      <c r="Q73" s="40">
        <f t="shared" si="62"/>
        <v>2090.3243575227043</v>
      </c>
      <c r="R73" s="40">
        <f t="shared" si="63"/>
        <v>0</v>
      </c>
      <c r="S73" s="44">
        <f t="shared" si="64"/>
        <v>14632.270502658928</v>
      </c>
      <c r="T73" s="35">
        <f t="shared" si="65"/>
        <v>21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756.27628187092398</v>
      </c>
      <c r="V73" s="57">
        <v>0</v>
      </c>
      <c r="W73" s="57">
        <v>0</v>
      </c>
      <c r="X73" s="61">
        <f t="shared" si="56"/>
        <v>21</v>
      </c>
      <c r="Y73" s="40">
        <f t="shared" si="66"/>
        <v>0</v>
      </c>
      <c r="Z73" s="40">
        <f t="shared" si="67"/>
        <v>0</v>
      </c>
      <c r="AA73" s="44">
        <f t="shared" si="68"/>
        <v>15881.801919289404</v>
      </c>
      <c r="AB73" s="35">
        <f t="shared" si="69"/>
        <v>21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820.09191852056836</v>
      </c>
      <c r="AD73" s="57">
        <v>0</v>
      </c>
      <c r="AE73" s="57">
        <v>0</v>
      </c>
      <c r="AF73" s="61">
        <f t="shared" si="57"/>
        <v>21</v>
      </c>
      <c r="AG73" s="40">
        <f t="shared" si="70"/>
        <v>0</v>
      </c>
      <c r="AH73" s="40">
        <f t="shared" si="71"/>
        <v>0</v>
      </c>
      <c r="AI73" s="44">
        <f t="shared" si="72"/>
        <v>17221.930288931937</v>
      </c>
      <c r="AJ73" s="35">
        <f t="shared" si="58"/>
        <v>21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887.62891160323511</v>
      </c>
      <c r="AL73" s="57">
        <v>0</v>
      </c>
      <c r="AM73" s="57">
        <v>0</v>
      </c>
      <c r="AN73" s="61">
        <f t="shared" si="59"/>
        <v>21</v>
      </c>
      <c r="AO73" s="40">
        <f t="shared" si="73"/>
        <v>0</v>
      </c>
      <c r="AP73" s="40">
        <f t="shared" si="74"/>
        <v>0</v>
      </c>
      <c r="AQ73" s="44">
        <f t="shared" si="75"/>
        <v>18640.207143667936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24</v>
      </c>
      <c r="G74" s="35">
        <f>SUMIFS(WORKING!$AC$3:$AC$6802,WORKING!$A$3:$A$6802,Results!$D$3,WORKING!$B$3:$B$6802,Results!A74,WORKING!$C$3:$C$6802,Results!C74)/1000</f>
        <v>15581.545330000003</v>
      </c>
      <c r="H74" s="35">
        <f t="shared" si="60"/>
        <v>649.23105541666678</v>
      </c>
      <c r="I74" s="187">
        <v>25</v>
      </c>
      <c r="J74" s="212">
        <v>14064</v>
      </c>
      <c r="K74" s="217">
        <f t="shared" si="61"/>
        <v>562.55999999999995</v>
      </c>
      <c r="L74" s="34">
        <f t="shared" si="54"/>
        <v>25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614.07713385234342</v>
      </c>
      <c r="N74" s="57">
        <v>14</v>
      </c>
      <c r="O74" s="57">
        <v>0</v>
      </c>
      <c r="P74" s="61">
        <f t="shared" si="55"/>
        <v>39</v>
      </c>
      <c r="Q74" s="40">
        <f t="shared" si="62"/>
        <v>8597.0798739328075</v>
      </c>
      <c r="R74" s="40">
        <f t="shared" si="63"/>
        <v>0</v>
      </c>
      <c r="S74" s="44">
        <f t="shared" si="64"/>
        <v>23949.008220241394</v>
      </c>
      <c r="T74" s="35">
        <f t="shared" si="65"/>
        <v>39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666.57421417837782</v>
      </c>
      <c r="V74" s="57">
        <v>0</v>
      </c>
      <c r="W74" s="57">
        <v>0</v>
      </c>
      <c r="X74" s="61">
        <f t="shared" si="56"/>
        <v>39</v>
      </c>
      <c r="Y74" s="40">
        <f t="shared" si="66"/>
        <v>0</v>
      </c>
      <c r="Z74" s="40">
        <f t="shared" si="67"/>
        <v>0</v>
      </c>
      <c r="AA74" s="44">
        <f t="shared" si="68"/>
        <v>25996.394352956733</v>
      </c>
      <c r="AB74" s="35">
        <f t="shared" si="69"/>
        <v>39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722.88301435467088</v>
      </c>
      <c r="AD74" s="57">
        <v>0</v>
      </c>
      <c r="AE74" s="57">
        <v>0</v>
      </c>
      <c r="AF74" s="61">
        <f t="shared" si="57"/>
        <v>39</v>
      </c>
      <c r="AG74" s="40">
        <f t="shared" si="70"/>
        <v>0</v>
      </c>
      <c r="AH74" s="40">
        <f t="shared" si="71"/>
        <v>0</v>
      </c>
      <c r="AI74" s="44">
        <f t="shared" si="72"/>
        <v>28192.437559832164</v>
      </c>
      <c r="AJ74" s="35">
        <f t="shared" si="58"/>
        <v>39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782.48180061346022</v>
      </c>
      <c r="AL74" s="57">
        <v>0</v>
      </c>
      <c r="AM74" s="57">
        <v>0</v>
      </c>
      <c r="AN74" s="61">
        <f t="shared" si="59"/>
        <v>39</v>
      </c>
      <c r="AO74" s="40">
        <f t="shared" si="73"/>
        <v>0</v>
      </c>
      <c r="AP74" s="40">
        <f t="shared" si="74"/>
        <v>0</v>
      </c>
      <c r="AQ74" s="44">
        <f t="shared" si="75"/>
        <v>30516.790223924949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34</v>
      </c>
      <c r="G75" s="35">
        <f>SUMIFS(WORKING!$AC$3:$AC$6802,WORKING!$A$3:$A$6802,Results!$D$3,WORKING!$B$3:$B$6802,Results!A75,WORKING!$C$3:$C$6802,Results!C75)/1000</f>
        <v>26399.990199999989</v>
      </c>
      <c r="H75" s="35">
        <f t="shared" si="60"/>
        <v>776.47029999999972</v>
      </c>
      <c r="I75" s="187">
        <v>26</v>
      </c>
      <c r="J75" s="212">
        <v>27027</v>
      </c>
      <c r="K75" s="217">
        <f t="shared" si="61"/>
        <v>1039.5</v>
      </c>
      <c r="L75" s="34">
        <f t="shared" si="54"/>
        <v>26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1134.8552522664977</v>
      </c>
      <c r="N75" s="57">
        <v>6</v>
      </c>
      <c r="O75" s="57">
        <v>0</v>
      </c>
      <c r="P75" s="61">
        <f t="shared" si="55"/>
        <v>32</v>
      </c>
      <c r="Q75" s="40">
        <f t="shared" si="62"/>
        <v>6809.1315135989862</v>
      </c>
      <c r="R75" s="40">
        <f t="shared" si="63"/>
        <v>0</v>
      </c>
      <c r="S75" s="44">
        <f t="shared" si="64"/>
        <v>36315.368072527926</v>
      </c>
      <c r="T75" s="35">
        <f t="shared" si="65"/>
        <v>32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1232.0489320972479</v>
      </c>
      <c r="V75" s="57">
        <v>0</v>
      </c>
      <c r="W75" s="57">
        <v>0</v>
      </c>
      <c r="X75" s="61">
        <f t="shared" si="56"/>
        <v>32</v>
      </c>
      <c r="Y75" s="40">
        <f t="shared" si="66"/>
        <v>0</v>
      </c>
      <c r="Z75" s="40">
        <f t="shared" si="67"/>
        <v>0</v>
      </c>
      <c r="AA75" s="44">
        <f t="shared" si="68"/>
        <v>39425.565827111932</v>
      </c>
      <c r="AB75" s="35">
        <f t="shared" si="69"/>
        <v>32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1336.3166168259363</v>
      </c>
      <c r="AD75" s="57">
        <v>0</v>
      </c>
      <c r="AE75" s="57">
        <v>0</v>
      </c>
      <c r="AF75" s="61">
        <f t="shared" si="57"/>
        <v>32</v>
      </c>
      <c r="AG75" s="40">
        <f t="shared" si="70"/>
        <v>0</v>
      </c>
      <c r="AH75" s="40">
        <f t="shared" si="71"/>
        <v>0</v>
      </c>
      <c r="AI75" s="44">
        <f t="shared" si="72"/>
        <v>42762.131738429962</v>
      </c>
      <c r="AJ75" s="35">
        <f t="shared" si="58"/>
        <v>32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1446.6967146171723</v>
      </c>
      <c r="AL75" s="57">
        <v>0</v>
      </c>
      <c r="AM75" s="57">
        <v>0</v>
      </c>
      <c r="AN75" s="61">
        <f t="shared" si="59"/>
        <v>32</v>
      </c>
      <c r="AO75" s="40">
        <f t="shared" si="73"/>
        <v>0</v>
      </c>
      <c r="AP75" s="40">
        <f t="shared" si="74"/>
        <v>0</v>
      </c>
      <c r="AQ75" s="44">
        <f t="shared" si="75"/>
        <v>46294.294867749515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38</v>
      </c>
      <c r="G76" s="35">
        <f>SUMIFS(WORKING!$AC$3:$AC$6802,WORKING!$A$3:$A$6802,Results!$D$3,WORKING!$B$3:$B$6802,Results!A76,WORKING!$C$3:$C$6802,Results!C76)/1000</f>
        <v>34636.87513</v>
      </c>
      <c r="H76" s="35">
        <f t="shared" si="60"/>
        <v>911.49671394736845</v>
      </c>
      <c r="I76" s="187">
        <v>38</v>
      </c>
      <c r="J76" s="212">
        <v>34580</v>
      </c>
      <c r="K76" s="217">
        <f t="shared" si="61"/>
        <v>910</v>
      </c>
      <c r="L76" s="34">
        <f t="shared" si="54"/>
        <v>38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953.7138777562709</v>
      </c>
      <c r="N76" s="57">
        <v>6</v>
      </c>
      <c r="O76" s="57">
        <v>0</v>
      </c>
      <c r="P76" s="61">
        <f t="shared" si="55"/>
        <v>44</v>
      </c>
      <c r="Q76" s="40">
        <f t="shared" si="62"/>
        <v>5722.2832665376254</v>
      </c>
      <c r="R76" s="40">
        <f t="shared" si="63"/>
        <v>0</v>
      </c>
      <c r="S76" s="44">
        <f t="shared" si="64"/>
        <v>41963.410621275922</v>
      </c>
      <c r="T76" s="35">
        <f t="shared" si="65"/>
        <v>44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1025.6527666802097</v>
      </c>
      <c r="V76" s="57">
        <v>0</v>
      </c>
      <c r="W76" s="57">
        <v>0</v>
      </c>
      <c r="X76" s="61">
        <f t="shared" si="56"/>
        <v>44</v>
      </c>
      <c r="Y76" s="40">
        <f t="shared" si="66"/>
        <v>0</v>
      </c>
      <c r="Z76" s="40">
        <f t="shared" si="67"/>
        <v>0</v>
      </c>
      <c r="AA76" s="44">
        <f t="shared" si="68"/>
        <v>45128.721733929226</v>
      </c>
      <c r="AB76" s="35">
        <f t="shared" si="69"/>
        <v>44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1101.9774418956949</v>
      </c>
      <c r="AD76" s="57">
        <v>0</v>
      </c>
      <c r="AE76" s="57">
        <v>0</v>
      </c>
      <c r="AF76" s="61">
        <f t="shared" si="57"/>
        <v>44</v>
      </c>
      <c r="AG76" s="40">
        <f t="shared" si="70"/>
        <v>0</v>
      </c>
      <c r="AH76" s="40">
        <f t="shared" si="71"/>
        <v>0</v>
      </c>
      <c r="AI76" s="44">
        <f t="shared" si="72"/>
        <v>48487.007443410577</v>
      </c>
      <c r="AJ76" s="35">
        <f t="shared" si="58"/>
        <v>44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1181.7458342084451</v>
      </c>
      <c r="AL76" s="57">
        <v>0</v>
      </c>
      <c r="AM76" s="57">
        <v>0</v>
      </c>
      <c r="AN76" s="61">
        <f t="shared" si="59"/>
        <v>44</v>
      </c>
      <c r="AO76" s="40">
        <f t="shared" si="73"/>
        <v>0</v>
      </c>
      <c r="AP76" s="40">
        <f t="shared" si="74"/>
        <v>0</v>
      </c>
      <c r="AQ76" s="44">
        <f t="shared" si="75"/>
        <v>51996.816705171586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8</v>
      </c>
      <c r="G77" s="35">
        <f>SUMIFS(WORKING!$AC$3:$AC$6802,WORKING!$A$3:$A$6802,Results!$D$3,WORKING!$B$3:$B$6802,Results!A77,WORKING!$C$3:$C$6802,Results!C77)/1000</f>
        <v>10258.04781</v>
      </c>
      <c r="H77" s="35">
        <f t="shared" si="60"/>
        <v>1282.25597625</v>
      </c>
      <c r="I77" s="187">
        <v>10</v>
      </c>
      <c r="J77" s="212">
        <v>10258</v>
      </c>
      <c r="K77" s="217">
        <f t="shared" si="61"/>
        <v>1025.8</v>
      </c>
      <c r="L77" s="34">
        <f t="shared" si="54"/>
        <v>10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1075.2486777145325</v>
      </c>
      <c r="N77" s="57">
        <v>4</v>
      </c>
      <c r="O77" s="57">
        <v>0</v>
      </c>
      <c r="P77" s="61">
        <f t="shared" si="55"/>
        <v>14</v>
      </c>
      <c r="Q77" s="40">
        <f t="shared" si="62"/>
        <v>4300.99471085813</v>
      </c>
      <c r="R77" s="40">
        <f t="shared" si="63"/>
        <v>0</v>
      </c>
      <c r="S77" s="44">
        <f t="shared" si="64"/>
        <v>15053.481488003456</v>
      </c>
      <c r="T77" s="35">
        <f t="shared" si="65"/>
        <v>14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1156.5400678586013</v>
      </c>
      <c r="V77" s="57">
        <v>0</v>
      </c>
      <c r="W77" s="57">
        <v>0</v>
      </c>
      <c r="X77" s="61">
        <f t="shared" si="56"/>
        <v>14</v>
      </c>
      <c r="Y77" s="40">
        <f t="shared" si="66"/>
        <v>0</v>
      </c>
      <c r="Z77" s="40">
        <f t="shared" si="67"/>
        <v>0</v>
      </c>
      <c r="AA77" s="44">
        <f t="shared" si="68"/>
        <v>16191.560950020419</v>
      </c>
      <c r="AB77" s="35">
        <f t="shared" si="69"/>
        <v>14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1242.8037194415806</v>
      </c>
      <c r="AD77" s="57">
        <v>0</v>
      </c>
      <c r="AE77" s="57">
        <v>0</v>
      </c>
      <c r="AF77" s="61">
        <f t="shared" si="57"/>
        <v>14</v>
      </c>
      <c r="AG77" s="40">
        <f t="shared" si="70"/>
        <v>0</v>
      </c>
      <c r="AH77" s="40">
        <f t="shared" si="71"/>
        <v>0</v>
      </c>
      <c r="AI77" s="44">
        <f t="shared" si="72"/>
        <v>17399.252072182127</v>
      </c>
      <c r="AJ77" s="35">
        <f t="shared" si="58"/>
        <v>14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1332.9793837667683</v>
      </c>
      <c r="AL77" s="57">
        <v>0</v>
      </c>
      <c r="AM77" s="57">
        <v>0</v>
      </c>
      <c r="AN77" s="61">
        <f t="shared" si="59"/>
        <v>14</v>
      </c>
      <c r="AO77" s="40">
        <f t="shared" si="73"/>
        <v>0</v>
      </c>
      <c r="AP77" s="40">
        <f t="shared" si="74"/>
        <v>0</v>
      </c>
      <c r="AQ77" s="44">
        <f t="shared" si="75"/>
        <v>18661.711372734757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4096.4476099999993</v>
      </c>
      <c r="H78" s="35">
        <f t="shared" si="60"/>
        <v>1365.4825366666664</v>
      </c>
      <c r="I78" s="187">
        <v>2</v>
      </c>
      <c r="J78" s="212">
        <v>4096</v>
      </c>
      <c r="K78" s="217">
        <f t="shared" si="61"/>
        <v>2048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2146.4898141024496</v>
      </c>
      <c r="N78" s="57">
        <v>2</v>
      </c>
      <c r="O78" s="57">
        <v>0</v>
      </c>
      <c r="P78" s="61">
        <f t="shared" si="55"/>
        <v>4</v>
      </c>
      <c r="Q78" s="40">
        <f t="shared" si="62"/>
        <v>4292.9796282048992</v>
      </c>
      <c r="R78" s="40">
        <f t="shared" si="63"/>
        <v>0</v>
      </c>
      <c r="S78" s="44">
        <f t="shared" si="64"/>
        <v>8585.9592564097984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2308.5179474642955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9234.071789857182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2480.4345586084919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9921.7382344339676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2660.1205543873848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10640.482217549539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1</v>
      </c>
      <c r="G79" s="35">
        <f>SUMIFS(WORKING!$AC$3:$AC$6802,WORKING!$A$3:$A$6802,Results!$D$3,WORKING!$B$3:$B$6802,Results!A79,WORKING!$C$3:$C$6802,Results!C79)/1000</f>
        <v>1873.23217</v>
      </c>
      <c r="H79" s="35">
        <f t="shared" si="60"/>
        <v>1873.23217</v>
      </c>
      <c r="I79" s="187">
        <v>1</v>
      </c>
      <c r="J79" s="212">
        <v>1873</v>
      </c>
      <c r="K79" s="217">
        <f t="shared" si="61"/>
        <v>1873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1963.6069507588306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1963.6069507588306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2112.4035460308987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2112.4035460308987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2270.3316826910118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2270.3316826910118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2435.4586420683836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2435.4586420683836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675</v>
      </c>
      <c r="G84" s="41">
        <f>SUM(G64:G83)</f>
        <v>224227.36542000002</v>
      </c>
      <c r="H84" s="41">
        <f>IFERROR(G84/F84,0)</f>
        <v>332.18868951111114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515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224711</v>
      </c>
      <c r="K84" s="41">
        <f>IFERROR(J84/I84,"")</f>
        <v>436.33203883495145</v>
      </c>
      <c r="L84" s="41">
        <f>SUM(L64:L83)</f>
        <v>515</v>
      </c>
      <c r="M84" s="41">
        <f>IFERROR(S84/P84,0)</f>
        <v>467.85889530333156</v>
      </c>
      <c r="N84" s="41">
        <f t="shared" ref="N84:T84" si="98">SUM(N64:N83)</f>
        <v>103</v>
      </c>
      <c r="O84" s="41">
        <f t="shared" si="98"/>
        <v>0</v>
      </c>
      <c r="P84" s="41">
        <f t="shared" si="98"/>
        <v>618</v>
      </c>
      <c r="Q84" s="41">
        <f t="shared" si="98"/>
        <v>56282.086471983697</v>
      </c>
      <c r="R84" s="41">
        <f t="shared" si="98"/>
        <v>0</v>
      </c>
      <c r="S84" s="45">
        <f t="shared" si="98"/>
        <v>289136.79729745892</v>
      </c>
      <c r="T84" s="41">
        <f t="shared" si="98"/>
        <v>618</v>
      </c>
      <c r="U84" s="41">
        <f>IFERROR(AA84/X84,0)</f>
        <v>506.64869588014875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618</v>
      </c>
      <c r="Y84" s="41">
        <f t="shared" si="99"/>
        <v>0</v>
      </c>
      <c r="Z84" s="41">
        <f t="shared" si="99"/>
        <v>0</v>
      </c>
      <c r="AA84" s="45">
        <f t="shared" si="99"/>
        <v>313108.89405393193</v>
      </c>
      <c r="AB84" s="41">
        <f t="shared" si="99"/>
        <v>618</v>
      </c>
      <c r="AC84" s="41">
        <f>IFERROR(AI84/AF84,0)</f>
        <v>548.14861202294924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618</v>
      </c>
      <c r="AG84" s="41">
        <f t="shared" si="100"/>
        <v>0</v>
      </c>
      <c r="AH84" s="41">
        <f t="shared" si="100"/>
        <v>0</v>
      </c>
      <c r="AI84" s="45">
        <f t="shared" si="100"/>
        <v>338755.84223018261</v>
      </c>
      <c r="AJ84" s="41">
        <f t="shared" si="100"/>
        <v>618</v>
      </c>
      <c r="AK84" s="41">
        <f>IFERROR(AQ84/AN84,0)</f>
        <v>591.9445152423425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618</v>
      </c>
      <c r="AO84" s="41">
        <f t="shared" si="101"/>
        <v>0</v>
      </c>
      <c r="AP84" s="41">
        <f t="shared" si="101"/>
        <v>0</v>
      </c>
      <c r="AQ84" s="45">
        <f t="shared" si="101"/>
        <v>365821.71041976765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266026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240957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234237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252039.01200000002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-23110.797297458921</v>
      </c>
      <c r="T86" s="39"/>
      <c r="U86" s="39"/>
      <c r="V86" s="53"/>
      <c r="W86" s="53"/>
      <c r="X86" s="110"/>
      <c r="Y86" s="39"/>
      <c r="Z86" s="39"/>
      <c r="AA86" s="54">
        <f>AA85-AA84</f>
        <v>-72151.89405393193</v>
      </c>
      <c r="AB86" s="39"/>
      <c r="AC86" s="53"/>
      <c r="AD86" s="53"/>
      <c r="AE86" s="110"/>
      <c r="AF86" s="39"/>
      <c r="AG86" s="39"/>
      <c r="AH86" s="39"/>
      <c r="AI86" s="54">
        <f>AI85-AI84</f>
        <v>-104518.84223018261</v>
      </c>
      <c r="AJ86" s="53"/>
      <c r="AK86" s="53"/>
      <c r="AL86" s="110"/>
      <c r="AM86" s="110"/>
      <c r="AN86" s="110"/>
      <c r="AO86" s="110"/>
      <c r="AP86" s="111"/>
      <c r="AQ86" s="54">
        <f>AQ85-AQ84</f>
        <v>-113782.69841976764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Economic Statistics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1</v>
      </c>
      <c r="G92" s="35">
        <f>SUMIFS(WORKING!$AC$3:$AC$6802,WORKING!$A$3:$A$6802,Results!$D$3,WORKING!$B$3:$B$6802,Results!A92,WORKING!$C$3:$C$6802,Results!C92)/1000</f>
        <v>55.665479999999995</v>
      </c>
      <c r="H92" s="35">
        <f>IFERROR(G92/F92,0)</f>
        <v>55.665479999999995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60.793650461399999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66.024024357813303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71.637379348308428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77.582559282984477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2.3304399999999994</v>
      </c>
      <c r="H96" s="35">
        <f t="shared" si="108"/>
        <v>0</v>
      </c>
      <c r="I96" s="187">
        <v>3</v>
      </c>
      <c r="J96" s="212">
        <v>560</v>
      </c>
      <c r="K96" s="217">
        <f t="shared" si="109"/>
        <v>186.66666666666666</v>
      </c>
      <c r="L96" s="34">
        <f t="shared" si="102"/>
        <v>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204.25035846214823</v>
      </c>
      <c r="N96" s="57">
        <v>1</v>
      </c>
      <c r="O96" s="57">
        <v>0</v>
      </c>
      <c r="P96" s="61">
        <f t="shared" si="103"/>
        <v>4</v>
      </c>
      <c r="Q96" s="40">
        <f t="shared" si="110"/>
        <v>204.25035846214823</v>
      </c>
      <c r="R96" s="40">
        <f t="shared" si="111"/>
        <v>0</v>
      </c>
      <c r="S96" s="44">
        <f t="shared" si="112"/>
        <v>817.00143384859291</v>
      </c>
      <c r="T96" s="35">
        <f t="shared" si="113"/>
        <v>4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221.96392210265429</v>
      </c>
      <c r="V96" s="57">
        <v>0</v>
      </c>
      <c r="W96" s="57">
        <v>0</v>
      </c>
      <c r="X96" s="61">
        <f t="shared" si="104"/>
        <v>4</v>
      </c>
      <c r="Y96" s="40">
        <f t="shared" si="114"/>
        <v>0</v>
      </c>
      <c r="Z96" s="40">
        <f t="shared" si="115"/>
        <v>0</v>
      </c>
      <c r="AA96" s="44">
        <f t="shared" si="116"/>
        <v>887.85568841061718</v>
      </c>
      <c r="AB96" s="35">
        <f t="shared" si="117"/>
        <v>4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240.98429662694457</v>
      </c>
      <c r="AD96" s="57">
        <v>0</v>
      </c>
      <c r="AE96" s="57">
        <v>0</v>
      </c>
      <c r="AF96" s="61">
        <f t="shared" si="105"/>
        <v>4</v>
      </c>
      <c r="AG96" s="40">
        <f t="shared" si="118"/>
        <v>0</v>
      </c>
      <c r="AH96" s="40">
        <f t="shared" si="119"/>
        <v>0</v>
      </c>
      <c r="AI96" s="44">
        <f t="shared" si="120"/>
        <v>963.93718650777828</v>
      </c>
      <c r="AJ96" s="35">
        <f t="shared" si="106"/>
        <v>4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261.13645007243321</v>
      </c>
      <c r="AL96" s="57">
        <v>0</v>
      </c>
      <c r="AM96" s="57">
        <v>0</v>
      </c>
      <c r="AN96" s="61">
        <f t="shared" si="107"/>
        <v>4</v>
      </c>
      <c r="AO96" s="40">
        <f t="shared" si="121"/>
        <v>0</v>
      </c>
      <c r="AP96" s="40">
        <f t="shared" si="122"/>
        <v>0</v>
      </c>
      <c r="AQ96" s="44">
        <f t="shared" si="123"/>
        <v>1044.5458002897328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265</v>
      </c>
      <c r="G97" s="35">
        <f>SUMIFS(WORKING!$AC$3:$AC$6802,WORKING!$A$3:$A$6802,Results!$D$3,WORKING!$B$3:$B$6802,Results!A97,WORKING!$C$3:$C$6802,Results!C97)/1000</f>
        <v>62964.746309999995</v>
      </c>
      <c r="H97" s="35">
        <f t="shared" si="108"/>
        <v>237.60281626415093</v>
      </c>
      <c r="I97" s="187">
        <v>272</v>
      </c>
      <c r="J97" s="212">
        <v>62880</v>
      </c>
      <c r="K97" s="217">
        <f t="shared" si="109"/>
        <v>231.1764705882353</v>
      </c>
      <c r="L97" s="34">
        <f t="shared" si="102"/>
        <v>272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251.32260970097752</v>
      </c>
      <c r="N97" s="57">
        <v>6</v>
      </c>
      <c r="O97" s="57">
        <v>0</v>
      </c>
      <c r="P97" s="61">
        <f t="shared" si="103"/>
        <v>278</v>
      </c>
      <c r="Q97" s="40">
        <f t="shared" si="110"/>
        <v>1507.9356582058651</v>
      </c>
      <c r="R97" s="40">
        <f t="shared" si="111"/>
        <v>0</v>
      </c>
      <c r="S97" s="44">
        <f t="shared" si="112"/>
        <v>69867.685496871753</v>
      </c>
      <c r="T97" s="35">
        <f t="shared" si="113"/>
        <v>278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272.59105772020223</v>
      </c>
      <c r="V97" s="57">
        <v>0</v>
      </c>
      <c r="W97" s="57">
        <v>0</v>
      </c>
      <c r="X97" s="61">
        <f t="shared" si="104"/>
        <v>278</v>
      </c>
      <c r="Y97" s="40">
        <f t="shared" si="114"/>
        <v>0</v>
      </c>
      <c r="Z97" s="40">
        <f t="shared" si="115"/>
        <v>0</v>
      </c>
      <c r="AA97" s="44">
        <f t="shared" si="116"/>
        <v>75780.314046216226</v>
      </c>
      <c r="AB97" s="35">
        <f t="shared" si="117"/>
        <v>278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295.38313560872064</v>
      </c>
      <c r="AD97" s="57">
        <v>0</v>
      </c>
      <c r="AE97" s="57">
        <v>0</v>
      </c>
      <c r="AF97" s="61">
        <f t="shared" si="105"/>
        <v>278</v>
      </c>
      <c r="AG97" s="40">
        <f t="shared" si="118"/>
        <v>0</v>
      </c>
      <c r="AH97" s="40">
        <f t="shared" si="119"/>
        <v>0</v>
      </c>
      <c r="AI97" s="44">
        <f t="shared" si="120"/>
        <v>82116.511699224342</v>
      </c>
      <c r="AJ97" s="35">
        <f t="shared" si="106"/>
        <v>278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319.48225619879327</v>
      </c>
      <c r="AL97" s="57">
        <v>0</v>
      </c>
      <c r="AM97" s="57">
        <v>0</v>
      </c>
      <c r="AN97" s="61">
        <f t="shared" si="107"/>
        <v>278</v>
      </c>
      <c r="AO97" s="40">
        <f t="shared" si="121"/>
        <v>0</v>
      </c>
      <c r="AP97" s="40">
        <f t="shared" si="122"/>
        <v>0</v>
      </c>
      <c r="AQ97" s="44">
        <f t="shared" si="123"/>
        <v>88816.06722326453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72</v>
      </c>
      <c r="G98" s="35">
        <f>SUMIFS(WORKING!$AC$3:$AC$6802,WORKING!$A$3:$A$6802,Results!$D$3,WORKING!$B$3:$B$6802,Results!A98,WORKING!$C$3:$C$6802,Results!C98)/1000</f>
        <v>20532.092080000006</v>
      </c>
      <c r="H98" s="35">
        <f t="shared" si="108"/>
        <v>285.16794555555566</v>
      </c>
      <c r="I98" s="187">
        <v>71</v>
      </c>
      <c r="J98" s="212">
        <v>21070</v>
      </c>
      <c r="K98" s="217">
        <f t="shared" si="109"/>
        <v>296.76056338028167</v>
      </c>
      <c r="L98" s="34">
        <f t="shared" si="102"/>
        <v>71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322.90636425756821</v>
      </c>
      <c r="N98" s="57">
        <v>2</v>
      </c>
      <c r="O98" s="57">
        <v>0</v>
      </c>
      <c r="P98" s="61">
        <f t="shared" si="103"/>
        <v>73</v>
      </c>
      <c r="Q98" s="40">
        <f t="shared" si="110"/>
        <v>645.81272851513643</v>
      </c>
      <c r="R98" s="40">
        <f t="shared" si="111"/>
        <v>0</v>
      </c>
      <c r="S98" s="44">
        <f t="shared" si="112"/>
        <v>23572.16459080248</v>
      </c>
      <c r="T98" s="35">
        <f t="shared" si="113"/>
        <v>73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350.32011676115189</v>
      </c>
      <c r="V98" s="57">
        <v>0</v>
      </c>
      <c r="W98" s="57">
        <v>0</v>
      </c>
      <c r="X98" s="61">
        <f t="shared" si="104"/>
        <v>73</v>
      </c>
      <c r="Y98" s="40">
        <f t="shared" si="114"/>
        <v>0</v>
      </c>
      <c r="Z98" s="40">
        <f t="shared" si="115"/>
        <v>0</v>
      </c>
      <c r="AA98" s="44">
        <f t="shared" si="116"/>
        <v>25573.368523564088</v>
      </c>
      <c r="AB98" s="35">
        <f t="shared" si="117"/>
        <v>73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379.70614193336127</v>
      </c>
      <c r="AD98" s="57">
        <v>0</v>
      </c>
      <c r="AE98" s="57">
        <v>0</v>
      </c>
      <c r="AF98" s="61">
        <f t="shared" si="105"/>
        <v>73</v>
      </c>
      <c r="AG98" s="40">
        <f t="shared" si="118"/>
        <v>0</v>
      </c>
      <c r="AH98" s="40">
        <f t="shared" si="119"/>
        <v>0</v>
      </c>
      <c r="AI98" s="44">
        <f t="shared" si="120"/>
        <v>27718.548361135374</v>
      </c>
      <c r="AJ98" s="35">
        <f t="shared" si="106"/>
        <v>73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410.78745598629979</v>
      </c>
      <c r="AL98" s="57">
        <v>0</v>
      </c>
      <c r="AM98" s="57">
        <v>0</v>
      </c>
      <c r="AN98" s="61">
        <f t="shared" si="107"/>
        <v>73</v>
      </c>
      <c r="AO98" s="40">
        <f t="shared" si="121"/>
        <v>0</v>
      </c>
      <c r="AP98" s="40">
        <f t="shared" si="122"/>
        <v>0</v>
      </c>
      <c r="AQ98" s="44">
        <f t="shared" si="123"/>
        <v>29987.484286999883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64</v>
      </c>
      <c r="G99" s="35">
        <f>SUMIFS(WORKING!$AC$3:$AC$6802,WORKING!$A$3:$A$6802,Results!$D$3,WORKING!$B$3:$B$6802,Results!A99,WORKING!$C$3:$C$6802,Results!C99)/1000</f>
        <v>22260.98734</v>
      </c>
      <c r="H99" s="35">
        <f t="shared" si="108"/>
        <v>347.82792718749999</v>
      </c>
      <c r="I99" s="187">
        <v>64</v>
      </c>
      <c r="J99" s="212">
        <v>23373</v>
      </c>
      <c r="K99" s="217">
        <f t="shared" si="109"/>
        <v>365.203125</v>
      </c>
      <c r="L99" s="34">
        <f t="shared" si="102"/>
        <v>64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397.70708415716905</v>
      </c>
      <c r="N99" s="57">
        <v>6</v>
      </c>
      <c r="O99" s="57">
        <v>0</v>
      </c>
      <c r="P99" s="61">
        <f t="shared" si="103"/>
        <v>70</v>
      </c>
      <c r="Q99" s="40">
        <f t="shared" si="110"/>
        <v>2386.2425049430144</v>
      </c>
      <c r="R99" s="40">
        <f t="shared" si="111"/>
        <v>0</v>
      </c>
      <c r="S99" s="44">
        <f t="shared" si="112"/>
        <v>27839.495891001832</v>
      </c>
      <c r="T99" s="35">
        <f t="shared" si="113"/>
        <v>70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431.57274230989162</v>
      </c>
      <c r="V99" s="57">
        <v>0</v>
      </c>
      <c r="W99" s="57">
        <v>0</v>
      </c>
      <c r="X99" s="61">
        <f t="shared" si="104"/>
        <v>70</v>
      </c>
      <c r="Y99" s="40">
        <f t="shared" si="114"/>
        <v>0</v>
      </c>
      <c r="Z99" s="40">
        <f t="shared" si="115"/>
        <v>0</v>
      </c>
      <c r="AA99" s="44">
        <f t="shared" si="116"/>
        <v>30210.091961692415</v>
      </c>
      <c r="AB99" s="35">
        <f t="shared" si="117"/>
        <v>70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467.88460395515585</v>
      </c>
      <c r="AD99" s="57">
        <v>0</v>
      </c>
      <c r="AE99" s="57">
        <v>0</v>
      </c>
      <c r="AF99" s="61">
        <f t="shared" si="105"/>
        <v>70</v>
      </c>
      <c r="AG99" s="40">
        <f t="shared" si="118"/>
        <v>0</v>
      </c>
      <c r="AH99" s="40">
        <f t="shared" si="119"/>
        <v>0</v>
      </c>
      <c r="AI99" s="44">
        <f t="shared" si="120"/>
        <v>32751.922276860911</v>
      </c>
      <c r="AJ99" s="35">
        <f t="shared" si="106"/>
        <v>70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506.30299464442021</v>
      </c>
      <c r="AL99" s="57">
        <v>0</v>
      </c>
      <c r="AM99" s="57">
        <v>0</v>
      </c>
      <c r="AN99" s="61">
        <f t="shared" si="107"/>
        <v>70</v>
      </c>
      <c r="AO99" s="40">
        <f t="shared" si="121"/>
        <v>0</v>
      </c>
      <c r="AP99" s="40">
        <f t="shared" si="122"/>
        <v>0</v>
      </c>
      <c r="AQ99" s="44">
        <f t="shared" si="123"/>
        <v>35441.209625109412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54</v>
      </c>
      <c r="G100" s="35">
        <f>SUMIFS(WORKING!$AC$3:$AC$6802,WORKING!$A$3:$A$6802,Results!$D$3,WORKING!$B$3:$B$6802,Results!A100,WORKING!$C$3:$C$6802,Results!C100)/1000</f>
        <v>23098.783309999995</v>
      </c>
      <c r="H100" s="35">
        <f t="shared" si="108"/>
        <v>427.75524648148138</v>
      </c>
      <c r="I100" s="187">
        <v>54</v>
      </c>
      <c r="J100" s="212">
        <v>23687</v>
      </c>
      <c r="K100" s="217">
        <f t="shared" si="109"/>
        <v>438.64814814814815</v>
      </c>
      <c r="L100" s="34">
        <f t="shared" si="102"/>
        <v>54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477.82457192886812</v>
      </c>
      <c r="N100" s="57">
        <v>11</v>
      </c>
      <c r="O100" s="57">
        <v>0</v>
      </c>
      <c r="P100" s="61">
        <f t="shared" si="103"/>
        <v>65</v>
      </c>
      <c r="Q100" s="40">
        <f t="shared" si="110"/>
        <v>5256.0702912175493</v>
      </c>
      <c r="R100" s="40">
        <f t="shared" si="111"/>
        <v>0</v>
      </c>
      <c r="S100" s="44">
        <f t="shared" si="112"/>
        <v>31058.597175376428</v>
      </c>
      <c r="T100" s="35">
        <f t="shared" si="113"/>
        <v>65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518.55579894798893</v>
      </c>
      <c r="V100" s="57">
        <v>0</v>
      </c>
      <c r="W100" s="57">
        <v>0</v>
      </c>
      <c r="X100" s="61">
        <f t="shared" si="104"/>
        <v>65</v>
      </c>
      <c r="Y100" s="40">
        <f t="shared" si="114"/>
        <v>0</v>
      </c>
      <c r="Z100" s="40">
        <f t="shared" si="115"/>
        <v>0</v>
      </c>
      <c r="AA100" s="44">
        <f t="shared" si="116"/>
        <v>33706.126931619277</v>
      </c>
      <c r="AB100" s="35">
        <f t="shared" si="117"/>
        <v>65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562.23324940294196</v>
      </c>
      <c r="AD100" s="57">
        <v>0</v>
      </c>
      <c r="AE100" s="57">
        <v>0</v>
      </c>
      <c r="AF100" s="61">
        <f t="shared" si="105"/>
        <v>65</v>
      </c>
      <c r="AG100" s="40">
        <f t="shared" si="118"/>
        <v>0</v>
      </c>
      <c r="AH100" s="40">
        <f t="shared" si="119"/>
        <v>0</v>
      </c>
      <c r="AI100" s="44">
        <f t="shared" si="120"/>
        <v>36545.161211191225</v>
      </c>
      <c r="AJ100" s="35">
        <f t="shared" si="106"/>
        <v>65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608.44936686767267</v>
      </c>
      <c r="AL100" s="57">
        <v>0</v>
      </c>
      <c r="AM100" s="57">
        <v>0</v>
      </c>
      <c r="AN100" s="61">
        <f t="shared" si="107"/>
        <v>65</v>
      </c>
      <c r="AO100" s="40">
        <f t="shared" si="121"/>
        <v>0</v>
      </c>
      <c r="AP100" s="40">
        <f t="shared" si="122"/>
        <v>0</v>
      </c>
      <c r="AQ100" s="44">
        <f t="shared" si="123"/>
        <v>39549.208846398724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8</v>
      </c>
      <c r="G101" s="35">
        <f>SUMIFS(WORKING!$AC$3:$AC$6802,WORKING!$A$3:$A$6802,Results!$D$3,WORKING!$B$3:$B$6802,Results!A101,WORKING!$C$3:$C$6802,Results!C101)/1000</f>
        <v>3599.6350699999998</v>
      </c>
      <c r="H101" s="35">
        <f t="shared" si="108"/>
        <v>449.95438374999998</v>
      </c>
      <c r="I101" s="187">
        <v>5</v>
      </c>
      <c r="J101" s="212">
        <v>1810</v>
      </c>
      <c r="K101" s="217">
        <f t="shared" si="109"/>
        <v>362</v>
      </c>
      <c r="L101" s="34">
        <f t="shared" si="102"/>
        <v>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394.39253443735322</v>
      </c>
      <c r="N101" s="57">
        <v>0</v>
      </c>
      <c r="O101" s="57">
        <v>0</v>
      </c>
      <c r="P101" s="61">
        <f t="shared" si="103"/>
        <v>5</v>
      </c>
      <c r="Q101" s="40">
        <f t="shared" si="110"/>
        <v>0</v>
      </c>
      <c r="R101" s="40">
        <f t="shared" si="111"/>
        <v>0</v>
      </c>
      <c r="S101" s="44">
        <f t="shared" si="112"/>
        <v>1971.9626721867662</v>
      </c>
      <c r="T101" s="35">
        <f t="shared" si="113"/>
        <v>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428.03260590351766</v>
      </c>
      <c r="V101" s="57">
        <v>0</v>
      </c>
      <c r="W101" s="57">
        <v>0</v>
      </c>
      <c r="X101" s="61">
        <f t="shared" si="104"/>
        <v>5</v>
      </c>
      <c r="Y101" s="40">
        <f t="shared" si="114"/>
        <v>0</v>
      </c>
      <c r="Z101" s="40">
        <f t="shared" si="115"/>
        <v>0</v>
      </c>
      <c r="AA101" s="44">
        <f t="shared" si="116"/>
        <v>2140.1630295175883</v>
      </c>
      <c r="AB101" s="35">
        <f t="shared" si="117"/>
        <v>5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464.10788863648094</v>
      </c>
      <c r="AD101" s="57">
        <v>0</v>
      </c>
      <c r="AE101" s="57">
        <v>0</v>
      </c>
      <c r="AF101" s="61">
        <f t="shared" si="105"/>
        <v>5</v>
      </c>
      <c r="AG101" s="40">
        <f t="shared" si="118"/>
        <v>0</v>
      </c>
      <c r="AH101" s="40">
        <f t="shared" si="119"/>
        <v>0</v>
      </c>
      <c r="AI101" s="44">
        <f t="shared" si="120"/>
        <v>2320.5394431824047</v>
      </c>
      <c r="AJ101" s="35">
        <f t="shared" si="106"/>
        <v>5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502.2821744124841</v>
      </c>
      <c r="AL101" s="57">
        <v>0</v>
      </c>
      <c r="AM101" s="57">
        <v>0</v>
      </c>
      <c r="AN101" s="61">
        <f t="shared" si="107"/>
        <v>5</v>
      </c>
      <c r="AO101" s="40">
        <f t="shared" si="121"/>
        <v>0</v>
      </c>
      <c r="AP101" s="40">
        <f t="shared" si="122"/>
        <v>0</v>
      </c>
      <c r="AQ101" s="44">
        <f t="shared" si="123"/>
        <v>2511.4108720624204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40</v>
      </c>
      <c r="G102" s="35">
        <f>SUMIFS(WORKING!$AC$3:$AC$6802,WORKING!$A$3:$A$6802,Results!$D$3,WORKING!$B$3:$B$6802,Results!A102,WORKING!$C$3:$C$6802,Results!C102)/1000</f>
        <v>24236.069719999981</v>
      </c>
      <c r="H102" s="35">
        <f t="shared" si="108"/>
        <v>605.90174299999956</v>
      </c>
      <c r="I102" s="187">
        <v>43</v>
      </c>
      <c r="J102" s="212">
        <v>24453</v>
      </c>
      <c r="K102" s="217">
        <f t="shared" si="109"/>
        <v>568.67441860465112</v>
      </c>
      <c r="L102" s="34">
        <f t="shared" si="102"/>
        <v>43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620.8108482244885</v>
      </c>
      <c r="N102" s="57">
        <v>5</v>
      </c>
      <c r="O102" s="57">
        <v>0</v>
      </c>
      <c r="P102" s="61">
        <f t="shared" si="103"/>
        <v>48</v>
      </c>
      <c r="Q102" s="40">
        <f t="shared" si="110"/>
        <v>3104.0542411224424</v>
      </c>
      <c r="R102" s="40">
        <f t="shared" si="111"/>
        <v>0</v>
      </c>
      <c r="S102" s="44">
        <f t="shared" si="112"/>
        <v>29798.92071477545</v>
      </c>
      <c r="T102" s="35">
        <f t="shared" si="113"/>
        <v>48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673.94803078192263</v>
      </c>
      <c r="V102" s="57">
        <v>0</v>
      </c>
      <c r="W102" s="57">
        <v>0</v>
      </c>
      <c r="X102" s="61">
        <f t="shared" si="104"/>
        <v>48</v>
      </c>
      <c r="Y102" s="40">
        <f t="shared" si="114"/>
        <v>0</v>
      </c>
      <c r="Z102" s="40">
        <f t="shared" si="115"/>
        <v>0</v>
      </c>
      <c r="AA102" s="44">
        <f t="shared" si="116"/>
        <v>32349.505477532286</v>
      </c>
      <c r="AB102" s="35">
        <f t="shared" si="117"/>
        <v>48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730.94962491759247</v>
      </c>
      <c r="AD102" s="57">
        <v>0</v>
      </c>
      <c r="AE102" s="57">
        <v>0</v>
      </c>
      <c r="AF102" s="61">
        <f t="shared" si="105"/>
        <v>48</v>
      </c>
      <c r="AG102" s="40">
        <f t="shared" si="118"/>
        <v>0</v>
      </c>
      <c r="AH102" s="40">
        <f t="shared" si="119"/>
        <v>0</v>
      </c>
      <c r="AI102" s="44">
        <f t="shared" si="120"/>
        <v>35085.581996044435</v>
      </c>
      <c r="AJ102" s="35">
        <f t="shared" si="106"/>
        <v>48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791.28913158052012</v>
      </c>
      <c r="AL102" s="57">
        <v>0</v>
      </c>
      <c r="AM102" s="57">
        <v>0</v>
      </c>
      <c r="AN102" s="61">
        <f t="shared" si="107"/>
        <v>48</v>
      </c>
      <c r="AO102" s="40">
        <f t="shared" si="121"/>
        <v>0</v>
      </c>
      <c r="AP102" s="40">
        <f t="shared" si="122"/>
        <v>0</v>
      </c>
      <c r="AQ102" s="44">
        <f t="shared" si="123"/>
        <v>37981.878315864968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8</v>
      </c>
      <c r="G103" s="35">
        <f>SUMIFS(WORKING!$AC$3:$AC$6802,WORKING!$A$3:$A$6802,Results!$D$3,WORKING!$B$3:$B$6802,Results!A103,WORKING!$C$3:$C$6802,Results!C103)/1000</f>
        <v>6276.14534</v>
      </c>
      <c r="H103" s="35">
        <f t="shared" si="108"/>
        <v>784.5181675</v>
      </c>
      <c r="I103" s="187">
        <v>9</v>
      </c>
      <c r="J103" s="212">
        <v>6826</v>
      </c>
      <c r="K103" s="217">
        <f t="shared" si="109"/>
        <v>758.44444444444446</v>
      </c>
      <c r="L103" s="34">
        <f t="shared" si="102"/>
        <v>9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827.7948307307372</v>
      </c>
      <c r="N103" s="57">
        <v>0</v>
      </c>
      <c r="O103" s="57">
        <v>0</v>
      </c>
      <c r="P103" s="61">
        <f t="shared" si="103"/>
        <v>9</v>
      </c>
      <c r="Q103" s="40">
        <f t="shared" si="110"/>
        <v>0</v>
      </c>
      <c r="R103" s="40">
        <f t="shared" si="111"/>
        <v>0</v>
      </c>
      <c r="S103" s="44">
        <f t="shared" si="112"/>
        <v>7450.1534765766346</v>
      </c>
      <c r="T103" s="35">
        <f t="shared" si="113"/>
        <v>9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898.44842560004861</v>
      </c>
      <c r="V103" s="57">
        <v>0</v>
      </c>
      <c r="W103" s="57">
        <v>0</v>
      </c>
      <c r="X103" s="61">
        <f t="shared" si="104"/>
        <v>9</v>
      </c>
      <c r="Y103" s="40">
        <f t="shared" si="114"/>
        <v>0</v>
      </c>
      <c r="Z103" s="40">
        <f t="shared" si="115"/>
        <v>0</v>
      </c>
      <c r="AA103" s="44">
        <f t="shared" si="116"/>
        <v>8086.0358304004376</v>
      </c>
      <c r="AB103" s="35">
        <f t="shared" si="117"/>
        <v>9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974.22107755949628</v>
      </c>
      <c r="AD103" s="57">
        <v>0</v>
      </c>
      <c r="AE103" s="57">
        <v>0</v>
      </c>
      <c r="AF103" s="61">
        <f t="shared" si="105"/>
        <v>9</v>
      </c>
      <c r="AG103" s="40">
        <f t="shared" si="118"/>
        <v>0</v>
      </c>
      <c r="AH103" s="40">
        <f t="shared" si="119"/>
        <v>0</v>
      </c>
      <c r="AI103" s="44">
        <f t="shared" si="120"/>
        <v>8767.9896980354661</v>
      </c>
      <c r="AJ103" s="35">
        <f t="shared" si="106"/>
        <v>9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1054.4077881538799</v>
      </c>
      <c r="AL103" s="57">
        <v>0</v>
      </c>
      <c r="AM103" s="57">
        <v>0</v>
      </c>
      <c r="AN103" s="61">
        <f t="shared" si="107"/>
        <v>9</v>
      </c>
      <c r="AO103" s="40">
        <f t="shared" si="121"/>
        <v>0</v>
      </c>
      <c r="AP103" s="40">
        <f t="shared" si="122"/>
        <v>0</v>
      </c>
      <c r="AQ103" s="44">
        <f t="shared" si="123"/>
        <v>9489.6700933849188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22</v>
      </c>
      <c r="G104" s="35">
        <f>SUMIFS(WORKING!$AC$3:$AC$6802,WORKING!$A$3:$A$6802,Results!$D$3,WORKING!$B$3:$B$6802,Results!A104,WORKING!$C$3:$C$6802,Results!C104)/1000</f>
        <v>19790.214220000002</v>
      </c>
      <c r="H104" s="35">
        <f t="shared" si="108"/>
        <v>899.55519181818192</v>
      </c>
      <c r="I104" s="187">
        <v>21</v>
      </c>
      <c r="J104" s="212">
        <v>20342</v>
      </c>
      <c r="K104" s="217">
        <f t="shared" si="109"/>
        <v>968.66666666666663</v>
      </c>
      <c r="L104" s="34">
        <f t="shared" si="102"/>
        <v>21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1015.1578182193156</v>
      </c>
      <c r="N104" s="57">
        <v>3</v>
      </c>
      <c r="O104" s="57">
        <v>0</v>
      </c>
      <c r="P104" s="61">
        <f t="shared" si="103"/>
        <v>24</v>
      </c>
      <c r="Q104" s="40">
        <f t="shared" si="110"/>
        <v>3045.4734546579466</v>
      </c>
      <c r="R104" s="40">
        <f t="shared" si="111"/>
        <v>0</v>
      </c>
      <c r="S104" s="44">
        <f t="shared" si="112"/>
        <v>24363.787637263573</v>
      </c>
      <c r="T104" s="35">
        <f t="shared" si="113"/>
        <v>24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1091.6874453881935</v>
      </c>
      <c r="V104" s="57">
        <v>0</v>
      </c>
      <c r="W104" s="57">
        <v>0</v>
      </c>
      <c r="X104" s="61">
        <f t="shared" si="104"/>
        <v>24</v>
      </c>
      <c r="Y104" s="40">
        <f t="shared" si="114"/>
        <v>0</v>
      </c>
      <c r="Z104" s="40">
        <f t="shared" si="115"/>
        <v>0</v>
      </c>
      <c r="AA104" s="44">
        <f t="shared" si="116"/>
        <v>26200.498689316642</v>
      </c>
      <c r="AB104" s="35">
        <f t="shared" si="117"/>
        <v>24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1172.8788715406595</v>
      </c>
      <c r="AD104" s="57">
        <v>0</v>
      </c>
      <c r="AE104" s="57">
        <v>0</v>
      </c>
      <c r="AF104" s="61">
        <f t="shared" si="105"/>
        <v>24</v>
      </c>
      <c r="AG104" s="40">
        <f t="shared" si="118"/>
        <v>0</v>
      </c>
      <c r="AH104" s="40">
        <f t="shared" si="119"/>
        <v>0</v>
      </c>
      <c r="AI104" s="44">
        <f t="shared" si="120"/>
        <v>28149.092916975827</v>
      </c>
      <c r="AJ104" s="35">
        <f t="shared" si="106"/>
        <v>24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1257.7288910310085</v>
      </c>
      <c r="AL104" s="57">
        <v>0</v>
      </c>
      <c r="AM104" s="57">
        <v>0</v>
      </c>
      <c r="AN104" s="61">
        <f t="shared" si="107"/>
        <v>24</v>
      </c>
      <c r="AO104" s="40">
        <f t="shared" si="121"/>
        <v>0</v>
      </c>
      <c r="AP104" s="40">
        <f t="shared" si="122"/>
        <v>0</v>
      </c>
      <c r="AQ104" s="44">
        <f t="shared" si="123"/>
        <v>30185.493384744204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6</v>
      </c>
      <c r="G105" s="35">
        <f>SUMIFS(WORKING!$AC$3:$AC$6802,WORKING!$A$3:$A$6802,Results!$D$3,WORKING!$B$3:$B$6802,Results!A105,WORKING!$C$3:$C$6802,Results!C105)/1000</f>
        <v>6804.2121899999993</v>
      </c>
      <c r="H105" s="35">
        <f t="shared" si="108"/>
        <v>1134.035365</v>
      </c>
      <c r="I105" s="187">
        <v>6</v>
      </c>
      <c r="J105" s="212">
        <v>6804</v>
      </c>
      <c r="K105" s="217">
        <f t="shared" si="109"/>
        <v>1134</v>
      </c>
      <c r="L105" s="34">
        <f t="shared" si="102"/>
        <v>6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1188.3533141093781</v>
      </c>
      <c r="N105" s="57">
        <v>0</v>
      </c>
      <c r="O105" s="57">
        <v>0</v>
      </c>
      <c r="P105" s="61">
        <f t="shared" si="103"/>
        <v>6</v>
      </c>
      <c r="Q105" s="40">
        <f t="shared" si="110"/>
        <v>0</v>
      </c>
      <c r="R105" s="40">
        <f t="shared" si="111"/>
        <v>0</v>
      </c>
      <c r="S105" s="44">
        <f t="shared" si="112"/>
        <v>7130.1198846562684</v>
      </c>
      <c r="T105" s="35">
        <f t="shared" si="113"/>
        <v>6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1277.8611082120938</v>
      </c>
      <c r="V105" s="57">
        <v>0</v>
      </c>
      <c r="W105" s="57">
        <v>0</v>
      </c>
      <c r="X105" s="61">
        <f t="shared" si="104"/>
        <v>6</v>
      </c>
      <c r="Y105" s="40">
        <f t="shared" si="114"/>
        <v>0</v>
      </c>
      <c r="Z105" s="40">
        <f t="shared" si="115"/>
        <v>0</v>
      </c>
      <c r="AA105" s="44">
        <f t="shared" si="116"/>
        <v>7667.1666492725626</v>
      </c>
      <c r="AB105" s="35">
        <f t="shared" si="117"/>
        <v>6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1372.8143755259237</v>
      </c>
      <c r="AD105" s="57">
        <v>0</v>
      </c>
      <c r="AE105" s="57">
        <v>0</v>
      </c>
      <c r="AF105" s="61">
        <f t="shared" si="105"/>
        <v>6</v>
      </c>
      <c r="AG105" s="40">
        <f t="shared" si="118"/>
        <v>0</v>
      </c>
      <c r="AH105" s="40">
        <f t="shared" si="119"/>
        <v>0</v>
      </c>
      <c r="AI105" s="44">
        <f t="shared" si="120"/>
        <v>8236.8862531555424</v>
      </c>
      <c r="AJ105" s="35">
        <f t="shared" si="106"/>
        <v>6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1472.0379658599393</v>
      </c>
      <c r="AL105" s="57">
        <v>0</v>
      </c>
      <c r="AM105" s="57">
        <v>0</v>
      </c>
      <c r="AN105" s="61">
        <f t="shared" si="107"/>
        <v>6</v>
      </c>
      <c r="AO105" s="40">
        <f t="shared" si="121"/>
        <v>0</v>
      </c>
      <c r="AP105" s="40">
        <f t="shared" si="122"/>
        <v>0</v>
      </c>
      <c r="AQ105" s="44">
        <f t="shared" si="123"/>
        <v>8832.2277951596352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2</v>
      </c>
      <c r="G106" s="35">
        <f>SUMIFS(WORKING!$AC$3:$AC$6802,WORKING!$A$3:$A$6802,Results!$D$3,WORKING!$B$3:$B$6802,Results!A106,WORKING!$C$3:$C$6802,Results!C106)/1000</f>
        <v>2682.1159600000001</v>
      </c>
      <c r="H106" s="35">
        <f t="shared" si="108"/>
        <v>1341.05798</v>
      </c>
      <c r="I106" s="187">
        <v>2</v>
      </c>
      <c r="J106" s="212">
        <v>2682</v>
      </c>
      <c r="K106" s="217">
        <f t="shared" si="109"/>
        <v>1341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1404.0567643529969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2808.1135287059938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1508.5027221575635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3017.0054443151271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1619.1892995030946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3238.3785990061892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1734.7151812652442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3469.4303625304883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542</v>
      </c>
      <c r="G112" s="41">
        <f>SUM(G92:G111)</f>
        <v>192302.99745999993</v>
      </c>
      <c r="H112" s="41">
        <f>IFERROR(G112/F112,0)</f>
        <v>354.80257833948326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550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194542.66548</v>
      </c>
      <c r="K112" s="41">
        <f>IFERROR(J112/I112,"")</f>
        <v>353.71393723636362</v>
      </c>
      <c r="L112" s="41">
        <f>SUM(L92:L111)</f>
        <v>550</v>
      </c>
      <c r="M112" s="41">
        <f>IFERROR(S112/P112,0)</f>
        <v>388.14726455833181</v>
      </c>
      <c r="N112" s="41">
        <f t="shared" ref="N112:T112" si="124">SUM(N92:N111)</f>
        <v>34</v>
      </c>
      <c r="O112" s="41">
        <f t="shared" si="124"/>
        <v>0</v>
      </c>
      <c r="P112" s="41">
        <f t="shared" si="124"/>
        <v>584</v>
      </c>
      <c r="Q112" s="41">
        <f t="shared" si="124"/>
        <v>16149.839237124103</v>
      </c>
      <c r="R112" s="41">
        <f t="shared" si="124"/>
        <v>0</v>
      </c>
      <c r="S112" s="45">
        <f t="shared" si="124"/>
        <v>226678.00250206576</v>
      </c>
      <c r="T112" s="41">
        <f t="shared" si="124"/>
        <v>584</v>
      </c>
      <c r="U112" s="41">
        <f>IFERROR(AA112/X112,0)</f>
        <v>420.57899361619394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584</v>
      </c>
      <c r="Y112" s="41">
        <f t="shared" si="125"/>
        <v>0</v>
      </c>
      <c r="Z112" s="41">
        <f t="shared" si="125"/>
        <v>0</v>
      </c>
      <c r="AA112" s="45">
        <f t="shared" si="125"/>
        <v>245618.13227185726</v>
      </c>
      <c r="AB112" s="41">
        <f t="shared" si="125"/>
        <v>584</v>
      </c>
      <c r="AC112" s="41">
        <f>IFERROR(AI112/AF112,0)</f>
        <v>455.29888637212252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584</v>
      </c>
      <c r="AG112" s="41">
        <f t="shared" si="126"/>
        <v>0</v>
      </c>
      <c r="AH112" s="41">
        <f t="shared" si="126"/>
        <v>0</v>
      </c>
      <c r="AI112" s="45">
        <f t="shared" si="126"/>
        <v>265894.54964131955</v>
      </c>
      <c r="AJ112" s="41">
        <f t="shared" si="126"/>
        <v>584</v>
      </c>
      <c r="AK112" s="41">
        <f>IFERROR(AQ112/AN112,0)</f>
        <v>491.96682637980967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584</v>
      </c>
      <c r="AO112" s="41">
        <f t="shared" si="127"/>
        <v>0</v>
      </c>
      <c r="AP112" s="41">
        <f t="shared" si="127"/>
        <v>0</v>
      </c>
      <c r="AQ112" s="45">
        <f t="shared" si="127"/>
        <v>287308.62660580885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199575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201656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208443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224284.66800000001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-27103.002502065763</v>
      </c>
      <c r="T114" s="39"/>
      <c r="U114" s="39"/>
      <c r="V114" s="53"/>
      <c r="W114" s="53"/>
      <c r="X114" s="110"/>
      <c r="Y114" s="39"/>
      <c r="Z114" s="39"/>
      <c r="AA114" s="54">
        <f>AA113-AA112</f>
        <v>-43962.132271857263</v>
      </c>
      <c r="AB114" s="39"/>
      <c r="AC114" s="53"/>
      <c r="AD114" s="53"/>
      <c r="AE114" s="110"/>
      <c r="AF114" s="39"/>
      <c r="AG114" s="39"/>
      <c r="AH114" s="39"/>
      <c r="AI114" s="54">
        <f>AI113-AI112</f>
        <v>-57451.549641319551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-63023.958605808846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Population and Social Statistics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299</v>
      </c>
      <c r="G120" s="35">
        <f>SUMIFS(WORKING!$AC$3:$AC$6802,WORKING!$A$3:$A$6802,Results!$D$3,WORKING!$B$3:$B$6802,Results!A120,WORKING!$C$3:$C$6802,Results!C120)/1000</f>
        <v>21351.650170000001</v>
      </c>
      <c r="H120" s="35">
        <f>IFERROR(G120/F120,0)</f>
        <v>71.410201237458196</v>
      </c>
      <c r="I120" s="156">
        <v>0</v>
      </c>
      <c r="J120" s="211">
        <v>22801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77.988706722556529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84.698298619376956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91.899168515009336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99.525688743676497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11</v>
      </c>
      <c r="G121" s="35">
        <f>SUMIFS(WORKING!$AC$3:$AC$6802,WORKING!$A$3:$A$6802,Results!$D$3,WORKING!$B$3:$B$6802,Results!A121,WORKING!$C$3:$C$6802,Results!C121)/1000</f>
        <v>3886.5374300000003</v>
      </c>
      <c r="H121" s="35">
        <f t="shared" ref="H121:H139" si="134">IFERROR(G121/F121,0)</f>
        <v>353.32158454545458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385.87306420907277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419.07356298746964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454.70527525878907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492.44352921840391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41.524709999999999</v>
      </c>
      <c r="H123" s="35">
        <f t="shared" si="134"/>
        <v>0</v>
      </c>
      <c r="I123" s="187">
        <v>0</v>
      </c>
      <c r="J123" s="212">
        <v>41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2</v>
      </c>
      <c r="G124" s="35">
        <f>SUMIFS(WORKING!$AC$3:$AC$6802,WORKING!$A$3:$A$6802,Results!$D$3,WORKING!$B$3:$B$6802,Results!A124,WORKING!$C$3:$C$6802,Results!C124)/1000</f>
        <v>382.77087</v>
      </c>
      <c r="H124" s="35">
        <f t="shared" si="134"/>
        <v>191.385435</v>
      </c>
      <c r="I124" s="187">
        <v>3</v>
      </c>
      <c r="J124" s="212">
        <v>387</v>
      </c>
      <c r="K124" s="217">
        <f t="shared" si="135"/>
        <v>129</v>
      </c>
      <c r="L124" s="34">
        <f t="shared" si="128"/>
        <v>3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139.98887236098057</v>
      </c>
      <c r="N124" s="57">
        <v>0</v>
      </c>
      <c r="O124" s="57">
        <v>0</v>
      </c>
      <c r="P124" s="61">
        <f t="shared" si="129"/>
        <v>3</v>
      </c>
      <c r="Q124" s="40">
        <f t="shared" si="136"/>
        <v>0</v>
      </c>
      <c r="R124" s="40">
        <f t="shared" si="137"/>
        <v>0</v>
      </c>
      <c r="S124" s="44">
        <f t="shared" si="138"/>
        <v>419.9666170829417</v>
      </c>
      <c r="T124" s="35">
        <f t="shared" si="139"/>
        <v>3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151.75700236499924</v>
      </c>
      <c r="V124" s="57">
        <v>0</v>
      </c>
      <c r="W124" s="57">
        <v>0</v>
      </c>
      <c r="X124" s="61">
        <f t="shared" si="130"/>
        <v>3</v>
      </c>
      <c r="Y124" s="40">
        <f t="shared" si="140"/>
        <v>0</v>
      </c>
      <c r="Z124" s="40">
        <f t="shared" si="141"/>
        <v>0</v>
      </c>
      <c r="AA124" s="44">
        <f t="shared" si="142"/>
        <v>455.27100709499769</v>
      </c>
      <c r="AB124" s="35">
        <f t="shared" si="143"/>
        <v>3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164.3607396183474</v>
      </c>
      <c r="AD124" s="57">
        <v>0</v>
      </c>
      <c r="AE124" s="57">
        <v>0</v>
      </c>
      <c r="AF124" s="61">
        <f t="shared" si="131"/>
        <v>3</v>
      </c>
      <c r="AG124" s="40">
        <f t="shared" si="144"/>
        <v>0</v>
      </c>
      <c r="AH124" s="40">
        <f t="shared" si="145"/>
        <v>0</v>
      </c>
      <c r="AI124" s="44">
        <f t="shared" si="146"/>
        <v>493.08221885504219</v>
      </c>
      <c r="AJ124" s="35">
        <f t="shared" si="132"/>
        <v>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177.67836177886895</v>
      </c>
      <c r="AL124" s="57">
        <v>0</v>
      </c>
      <c r="AM124" s="57">
        <v>0</v>
      </c>
      <c r="AN124" s="61">
        <f t="shared" si="133"/>
        <v>3</v>
      </c>
      <c r="AO124" s="40">
        <f t="shared" si="147"/>
        <v>0</v>
      </c>
      <c r="AP124" s="40">
        <f t="shared" si="148"/>
        <v>0</v>
      </c>
      <c r="AQ124" s="44">
        <f t="shared" si="149"/>
        <v>533.03508533660681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60</v>
      </c>
      <c r="G125" s="35">
        <f>SUMIFS(WORKING!$AC$3:$AC$6802,WORKING!$A$3:$A$6802,Results!$D$3,WORKING!$B$3:$B$6802,Results!A125,WORKING!$C$3:$C$6802,Results!C125)/1000</f>
        <v>13727.787740000002</v>
      </c>
      <c r="H125" s="35">
        <f t="shared" si="134"/>
        <v>228.79646233333335</v>
      </c>
      <c r="I125" s="187">
        <v>59</v>
      </c>
      <c r="J125" s="212">
        <v>13939</v>
      </c>
      <c r="K125" s="217">
        <f t="shared" si="135"/>
        <v>236.25423728813558</v>
      </c>
      <c r="L125" s="34">
        <f t="shared" si="128"/>
        <v>59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256.86012434001594</v>
      </c>
      <c r="N125" s="57">
        <v>1</v>
      </c>
      <c r="O125" s="57">
        <v>0</v>
      </c>
      <c r="P125" s="61">
        <f t="shared" si="129"/>
        <v>60</v>
      </c>
      <c r="Q125" s="40">
        <f t="shared" si="136"/>
        <v>256.86012434001594</v>
      </c>
      <c r="R125" s="40">
        <f t="shared" si="137"/>
        <v>0</v>
      </c>
      <c r="S125" s="44">
        <f t="shared" si="138"/>
        <v>15411.607460400957</v>
      </c>
      <c r="T125" s="35">
        <f t="shared" si="139"/>
        <v>60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278.60306178012291</v>
      </c>
      <c r="V125" s="57">
        <v>0</v>
      </c>
      <c r="W125" s="57">
        <v>0</v>
      </c>
      <c r="X125" s="61">
        <f t="shared" si="130"/>
        <v>60</v>
      </c>
      <c r="Y125" s="40">
        <f t="shared" si="140"/>
        <v>0</v>
      </c>
      <c r="Z125" s="40">
        <f t="shared" si="141"/>
        <v>0</v>
      </c>
      <c r="AA125" s="44">
        <f t="shared" si="142"/>
        <v>16716.183706807376</v>
      </c>
      <c r="AB125" s="35">
        <f t="shared" si="143"/>
        <v>60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301.90415432503556</v>
      </c>
      <c r="AD125" s="57">
        <v>0</v>
      </c>
      <c r="AE125" s="57">
        <v>0</v>
      </c>
      <c r="AF125" s="61">
        <f t="shared" si="131"/>
        <v>60</v>
      </c>
      <c r="AG125" s="40">
        <f t="shared" si="144"/>
        <v>0</v>
      </c>
      <c r="AH125" s="40">
        <f t="shared" si="145"/>
        <v>0</v>
      </c>
      <c r="AI125" s="44">
        <f t="shared" si="146"/>
        <v>18114.249259502132</v>
      </c>
      <c r="AJ125" s="35">
        <f t="shared" si="132"/>
        <v>60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326.54209033798088</v>
      </c>
      <c r="AL125" s="57">
        <v>0</v>
      </c>
      <c r="AM125" s="57">
        <v>0</v>
      </c>
      <c r="AN125" s="61">
        <f t="shared" si="133"/>
        <v>60</v>
      </c>
      <c r="AO125" s="40">
        <f t="shared" si="147"/>
        <v>0</v>
      </c>
      <c r="AP125" s="40">
        <f t="shared" si="148"/>
        <v>0</v>
      </c>
      <c r="AQ125" s="44">
        <f t="shared" si="149"/>
        <v>19592.525420278853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12</v>
      </c>
      <c r="G126" s="35">
        <f>SUMIFS(WORKING!$AC$3:$AC$6802,WORKING!$A$3:$A$6802,Results!$D$3,WORKING!$B$3:$B$6802,Results!A126,WORKING!$C$3:$C$6802,Results!C126)/1000</f>
        <v>3290.79189</v>
      </c>
      <c r="H126" s="35">
        <f t="shared" si="134"/>
        <v>274.23265750000002</v>
      </c>
      <c r="I126" s="187">
        <v>11</v>
      </c>
      <c r="J126" s="212">
        <v>3329</v>
      </c>
      <c r="K126" s="217">
        <f t="shared" si="135"/>
        <v>302.63636363636363</v>
      </c>
      <c r="L126" s="34">
        <f t="shared" si="128"/>
        <v>11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329.48558154585379</v>
      </c>
      <c r="N126" s="57">
        <v>0</v>
      </c>
      <c r="O126" s="57">
        <v>0</v>
      </c>
      <c r="P126" s="61">
        <f t="shared" si="129"/>
        <v>11</v>
      </c>
      <c r="Q126" s="40">
        <f t="shared" si="136"/>
        <v>0</v>
      </c>
      <c r="R126" s="40">
        <f t="shared" si="137"/>
        <v>0</v>
      </c>
      <c r="S126" s="44">
        <f t="shared" si="138"/>
        <v>3624.3413970043916</v>
      </c>
      <c r="T126" s="35">
        <f t="shared" si="139"/>
        <v>11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357.51600941334431</v>
      </c>
      <c r="V126" s="57">
        <v>0</v>
      </c>
      <c r="W126" s="57">
        <v>0</v>
      </c>
      <c r="X126" s="61">
        <f t="shared" si="130"/>
        <v>11</v>
      </c>
      <c r="Y126" s="40">
        <f t="shared" si="140"/>
        <v>0</v>
      </c>
      <c r="Z126" s="40">
        <f t="shared" si="141"/>
        <v>0</v>
      </c>
      <c r="AA126" s="44">
        <f t="shared" si="142"/>
        <v>3932.6761035467875</v>
      </c>
      <c r="AB126" s="35">
        <f t="shared" si="143"/>
        <v>11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387.56861166969577</v>
      </c>
      <c r="AD126" s="57">
        <v>0</v>
      </c>
      <c r="AE126" s="57">
        <v>0</v>
      </c>
      <c r="AF126" s="61">
        <f t="shared" si="131"/>
        <v>11</v>
      </c>
      <c r="AG126" s="40">
        <f t="shared" si="144"/>
        <v>0</v>
      </c>
      <c r="AH126" s="40">
        <f t="shared" si="145"/>
        <v>0</v>
      </c>
      <c r="AI126" s="44">
        <f t="shared" si="146"/>
        <v>4263.2547283666536</v>
      </c>
      <c r="AJ126" s="35">
        <f t="shared" si="132"/>
        <v>11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419.36154829672711</v>
      </c>
      <c r="AL126" s="57">
        <v>0</v>
      </c>
      <c r="AM126" s="57">
        <v>0</v>
      </c>
      <c r="AN126" s="61">
        <f t="shared" si="133"/>
        <v>11</v>
      </c>
      <c r="AO126" s="40">
        <f t="shared" si="147"/>
        <v>0</v>
      </c>
      <c r="AP126" s="40">
        <f t="shared" si="148"/>
        <v>0</v>
      </c>
      <c r="AQ126" s="44">
        <f t="shared" si="149"/>
        <v>4612.9770312639985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28</v>
      </c>
      <c r="G127" s="35">
        <f>SUMIFS(WORKING!$AC$3:$AC$6802,WORKING!$A$3:$A$6802,Results!$D$3,WORKING!$B$3:$B$6802,Results!A127,WORKING!$C$3:$C$6802,Results!C127)/1000</f>
        <v>8838.9845999999998</v>
      </c>
      <c r="H127" s="35">
        <f t="shared" si="134"/>
        <v>315.67802142857141</v>
      </c>
      <c r="I127" s="187">
        <v>30</v>
      </c>
      <c r="J127" s="212">
        <v>8912</v>
      </c>
      <c r="K127" s="217">
        <f t="shared" si="135"/>
        <v>297.06666666666666</v>
      </c>
      <c r="L127" s="34">
        <f t="shared" si="128"/>
        <v>30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323.4781798687535</v>
      </c>
      <c r="N127" s="57">
        <v>0</v>
      </c>
      <c r="O127" s="57">
        <v>0</v>
      </c>
      <c r="P127" s="61">
        <f t="shared" si="129"/>
        <v>30</v>
      </c>
      <c r="Q127" s="40">
        <f t="shared" si="136"/>
        <v>0</v>
      </c>
      <c r="R127" s="40">
        <f t="shared" si="137"/>
        <v>0</v>
      </c>
      <c r="S127" s="44">
        <f t="shared" si="138"/>
        <v>9704.3453960626048</v>
      </c>
      <c r="T127" s="35">
        <f t="shared" si="139"/>
        <v>30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351.0166349872037</v>
      </c>
      <c r="V127" s="57">
        <v>0</v>
      </c>
      <c r="W127" s="57">
        <v>0</v>
      </c>
      <c r="X127" s="61">
        <f t="shared" si="130"/>
        <v>30</v>
      </c>
      <c r="Y127" s="40">
        <f t="shared" si="140"/>
        <v>0</v>
      </c>
      <c r="Z127" s="40">
        <f t="shared" si="141"/>
        <v>0</v>
      </c>
      <c r="AA127" s="44">
        <f t="shared" si="142"/>
        <v>10530.499049616112</v>
      </c>
      <c r="AB127" s="35">
        <f t="shared" si="143"/>
        <v>30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380.54352725471045</v>
      </c>
      <c r="AD127" s="57">
        <v>0</v>
      </c>
      <c r="AE127" s="57">
        <v>0</v>
      </c>
      <c r="AF127" s="61">
        <f t="shared" si="131"/>
        <v>30</v>
      </c>
      <c r="AG127" s="40">
        <f t="shared" si="144"/>
        <v>0</v>
      </c>
      <c r="AH127" s="40">
        <f t="shared" si="145"/>
        <v>0</v>
      </c>
      <c r="AI127" s="44">
        <f t="shared" si="146"/>
        <v>11416.305817641314</v>
      </c>
      <c r="AJ127" s="35">
        <f t="shared" si="132"/>
        <v>30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411.78232874117413</v>
      </c>
      <c r="AL127" s="57">
        <v>0</v>
      </c>
      <c r="AM127" s="57">
        <v>0</v>
      </c>
      <c r="AN127" s="61">
        <f t="shared" si="133"/>
        <v>30</v>
      </c>
      <c r="AO127" s="40">
        <f t="shared" si="147"/>
        <v>0</v>
      </c>
      <c r="AP127" s="40">
        <f t="shared" si="148"/>
        <v>0</v>
      </c>
      <c r="AQ127" s="44">
        <f t="shared" si="149"/>
        <v>12353.469862235224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16</v>
      </c>
      <c r="G128" s="35">
        <f>SUMIFS(WORKING!$AC$3:$AC$6802,WORKING!$A$3:$A$6802,Results!$D$3,WORKING!$B$3:$B$6802,Results!A128,WORKING!$C$3:$C$6802,Results!C128)/1000</f>
        <v>6995.7715099999987</v>
      </c>
      <c r="H128" s="35">
        <f t="shared" si="134"/>
        <v>437.23571937499992</v>
      </c>
      <c r="I128" s="187">
        <v>15</v>
      </c>
      <c r="J128" s="212">
        <v>7079</v>
      </c>
      <c r="K128" s="217">
        <f t="shared" si="135"/>
        <v>471.93333333333334</v>
      </c>
      <c r="L128" s="34">
        <f t="shared" si="128"/>
        <v>15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514.20812427806038</v>
      </c>
      <c r="N128" s="57">
        <v>4</v>
      </c>
      <c r="O128" s="57">
        <v>0</v>
      </c>
      <c r="P128" s="61">
        <f t="shared" si="129"/>
        <v>19</v>
      </c>
      <c r="Q128" s="40">
        <f t="shared" si="136"/>
        <v>2056.8324971122415</v>
      </c>
      <c r="R128" s="40">
        <f t="shared" si="137"/>
        <v>0</v>
      </c>
      <c r="S128" s="44">
        <f t="shared" si="138"/>
        <v>9769.9543612831476</v>
      </c>
      <c r="T128" s="35">
        <f t="shared" si="139"/>
        <v>19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558.07786668799474</v>
      </c>
      <c r="V128" s="57">
        <v>0</v>
      </c>
      <c r="W128" s="57">
        <v>0</v>
      </c>
      <c r="X128" s="61">
        <f t="shared" si="130"/>
        <v>19</v>
      </c>
      <c r="Y128" s="40">
        <f t="shared" si="140"/>
        <v>0</v>
      </c>
      <c r="Z128" s="40">
        <f t="shared" si="141"/>
        <v>0</v>
      </c>
      <c r="AA128" s="44">
        <f t="shared" si="142"/>
        <v>10603.4794670719</v>
      </c>
      <c r="AB128" s="35">
        <f t="shared" si="143"/>
        <v>19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605.12450497629015</v>
      </c>
      <c r="AD128" s="57">
        <v>0</v>
      </c>
      <c r="AE128" s="57">
        <v>0</v>
      </c>
      <c r="AF128" s="61">
        <f t="shared" si="131"/>
        <v>19</v>
      </c>
      <c r="AG128" s="40">
        <f t="shared" si="144"/>
        <v>0</v>
      </c>
      <c r="AH128" s="40">
        <f t="shared" si="145"/>
        <v>0</v>
      </c>
      <c r="AI128" s="44">
        <f t="shared" si="146"/>
        <v>11497.365594549512</v>
      </c>
      <c r="AJ128" s="35">
        <f t="shared" si="132"/>
        <v>19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654.91011131847472</v>
      </c>
      <c r="AL128" s="57">
        <v>0</v>
      </c>
      <c r="AM128" s="57">
        <v>0</v>
      </c>
      <c r="AN128" s="61">
        <f t="shared" si="133"/>
        <v>19</v>
      </c>
      <c r="AO128" s="40">
        <f t="shared" si="147"/>
        <v>0</v>
      </c>
      <c r="AP128" s="40">
        <f t="shared" si="148"/>
        <v>0</v>
      </c>
      <c r="AQ128" s="44">
        <f t="shared" si="149"/>
        <v>12443.292115051019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2</v>
      </c>
      <c r="G129" s="35">
        <f>SUMIFS(WORKING!$AC$3:$AC$6802,WORKING!$A$3:$A$6802,Results!$D$3,WORKING!$B$3:$B$6802,Results!A129,WORKING!$C$3:$C$6802,Results!C129)/1000</f>
        <v>1020.49692</v>
      </c>
      <c r="H129" s="35">
        <f t="shared" si="134"/>
        <v>510.24846000000002</v>
      </c>
      <c r="I129" s="187">
        <v>2</v>
      </c>
      <c r="J129" s="212">
        <v>1024</v>
      </c>
      <c r="K129" s="217">
        <f t="shared" si="135"/>
        <v>512</v>
      </c>
      <c r="L129" s="34">
        <f t="shared" si="128"/>
        <v>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557.89970723837371</v>
      </c>
      <c r="N129" s="57">
        <v>0</v>
      </c>
      <c r="O129" s="57">
        <v>0</v>
      </c>
      <c r="P129" s="61">
        <f t="shared" si="129"/>
        <v>2</v>
      </c>
      <c r="Q129" s="40">
        <f t="shared" si="136"/>
        <v>0</v>
      </c>
      <c r="R129" s="40">
        <f t="shared" si="137"/>
        <v>0</v>
      </c>
      <c r="S129" s="44">
        <f t="shared" si="138"/>
        <v>1115.7994144767474</v>
      </c>
      <c r="T129" s="35">
        <f t="shared" si="139"/>
        <v>2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605.51355746512013</v>
      </c>
      <c r="V129" s="57">
        <v>0</v>
      </c>
      <c r="W129" s="57">
        <v>0</v>
      </c>
      <c r="X129" s="61">
        <f t="shared" si="130"/>
        <v>2</v>
      </c>
      <c r="Y129" s="40">
        <f t="shared" si="140"/>
        <v>0</v>
      </c>
      <c r="Z129" s="40">
        <f t="shared" si="141"/>
        <v>0</v>
      </c>
      <c r="AA129" s="44">
        <f t="shared" si="142"/>
        <v>1211.0271149302403</v>
      </c>
      <c r="AB129" s="35">
        <f t="shared" si="143"/>
        <v>2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656.57675677092436</v>
      </c>
      <c r="AD129" s="57">
        <v>0</v>
      </c>
      <c r="AE129" s="57">
        <v>0</v>
      </c>
      <c r="AF129" s="61">
        <f t="shared" si="131"/>
        <v>2</v>
      </c>
      <c r="AG129" s="40">
        <f t="shared" si="144"/>
        <v>0</v>
      </c>
      <c r="AH129" s="40">
        <f t="shared" si="145"/>
        <v>0</v>
      </c>
      <c r="AI129" s="44">
        <f t="shared" si="146"/>
        <v>1313.1535135418487</v>
      </c>
      <c r="AJ129" s="35">
        <f t="shared" si="132"/>
        <v>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710.61404389077552</v>
      </c>
      <c r="AL129" s="57">
        <v>0</v>
      </c>
      <c r="AM129" s="57">
        <v>0</v>
      </c>
      <c r="AN129" s="61">
        <f t="shared" si="133"/>
        <v>2</v>
      </c>
      <c r="AO129" s="40">
        <f t="shared" si="147"/>
        <v>0</v>
      </c>
      <c r="AP129" s="40">
        <f t="shared" si="148"/>
        <v>0</v>
      </c>
      <c r="AQ129" s="44">
        <f t="shared" si="149"/>
        <v>1421.228087781551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36</v>
      </c>
      <c r="G130" s="35">
        <f>SUMIFS(WORKING!$AC$3:$AC$6802,WORKING!$A$3:$A$6802,Results!$D$3,WORKING!$B$3:$B$6802,Results!A130,WORKING!$C$3:$C$6802,Results!C130)/1000</f>
        <v>22574.130619999993</v>
      </c>
      <c r="H130" s="35">
        <f t="shared" si="134"/>
        <v>627.0591838888887</v>
      </c>
      <c r="I130" s="187">
        <v>35</v>
      </c>
      <c r="J130" s="212">
        <v>22672</v>
      </c>
      <c r="K130" s="217">
        <f t="shared" si="135"/>
        <v>647.7714285714286</v>
      </c>
      <c r="L130" s="34">
        <f t="shared" si="128"/>
        <v>35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707.17738116301553</v>
      </c>
      <c r="N130" s="57">
        <v>4</v>
      </c>
      <c r="O130" s="57">
        <v>0</v>
      </c>
      <c r="P130" s="61">
        <f t="shared" si="129"/>
        <v>39</v>
      </c>
      <c r="Q130" s="40">
        <f t="shared" si="136"/>
        <v>2828.7095246520621</v>
      </c>
      <c r="R130" s="40">
        <f t="shared" si="137"/>
        <v>0</v>
      </c>
      <c r="S130" s="44">
        <f t="shared" si="138"/>
        <v>27579.917865357605</v>
      </c>
      <c r="T130" s="35">
        <f t="shared" si="139"/>
        <v>39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767.7263393053463</v>
      </c>
      <c r="V130" s="57">
        <v>0</v>
      </c>
      <c r="W130" s="57">
        <v>0</v>
      </c>
      <c r="X130" s="61">
        <f t="shared" si="130"/>
        <v>39</v>
      </c>
      <c r="Y130" s="40">
        <f t="shared" si="140"/>
        <v>0</v>
      </c>
      <c r="Z130" s="40">
        <f t="shared" si="141"/>
        <v>0</v>
      </c>
      <c r="AA130" s="44">
        <f t="shared" si="142"/>
        <v>29941.327232908505</v>
      </c>
      <c r="AB130" s="35">
        <f t="shared" si="143"/>
        <v>39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832.68060198045703</v>
      </c>
      <c r="AD130" s="57">
        <v>0</v>
      </c>
      <c r="AE130" s="57">
        <v>0</v>
      </c>
      <c r="AF130" s="61">
        <f t="shared" si="131"/>
        <v>39</v>
      </c>
      <c r="AG130" s="40">
        <f t="shared" si="144"/>
        <v>0</v>
      </c>
      <c r="AH130" s="40">
        <f t="shared" si="145"/>
        <v>0</v>
      </c>
      <c r="AI130" s="44">
        <f t="shared" si="146"/>
        <v>32474.543477237825</v>
      </c>
      <c r="AJ130" s="35">
        <f t="shared" si="132"/>
        <v>39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901.44071236852744</v>
      </c>
      <c r="AL130" s="57">
        <v>0</v>
      </c>
      <c r="AM130" s="57">
        <v>0</v>
      </c>
      <c r="AN130" s="61">
        <f t="shared" si="133"/>
        <v>39</v>
      </c>
      <c r="AO130" s="40">
        <f t="shared" si="147"/>
        <v>0</v>
      </c>
      <c r="AP130" s="40">
        <f t="shared" si="148"/>
        <v>0</v>
      </c>
      <c r="AQ130" s="44">
        <f t="shared" si="149"/>
        <v>35156.187782372574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3</v>
      </c>
      <c r="G131" s="35">
        <f>SUMIFS(WORKING!$AC$3:$AC$6802,WORKING!$A$3:$A$6802,Results!$D$3,WORKING!$B$3:$B$6802,Results!A131,WORKING!$C$3:$C$6802,Results!C131)/1000</f>
        <v>2265.8548799999999</v>
      </c>
      <c r="H131" s="35">
        <f t="shared" si="134"/>
        <v>755.28495999999996</v>
      </c>
      <c r="I131" s="187">
        <v>6</v>
      </c>
      <c r="J131" s="212">
        <v>2265</v>
      </c>
      <c r="K131" s="217">
        <f t="shared" si="135"/>
        <v>377.5</v>
      </c>
      <c r="L131" s="34">
        <f t="shared" si="128"/>
        <v>6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411.98042016903128</v>
      </c>
      <c r="N131" s="57">
        <v>1</v>
      </c>
      <c r="O131" s="57">
        <v>0</v>
      </c>
      <c r="P131" s="61">
        <f t="shared" si="129"/>
        <v>7</v>
      </c>
      <c r="Q131" s="40">
        <f t="shared" si="136"/>
        <v>411.98042016903128</v>
      </c>
      <c r="R131" s="40">
        <f t="shared" si="137"/>
        <v>0</v>
      </c>
      <c r="S131" s="44">
        <f t="shared" si="138"/>
        <v>2883.8629411832189</v>
      </c>
      <c r="T131" s="35">
        <f t="shared" si="139"/>
        <v>7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447.10312234382229</v>
      </c>
      <c r="V131" s="57">
        <v>0</v>
      </c>
      <c r="W131" s="57">
        <v>0</v>
      </c>
      <c r="X131" s="61">
        <f t="shared" si="130"/>
        <v>7</v>
      </c>
      <c r="Y131" s="40">
        <f t="shared" si="140"/>
        <v>0</v>
      </c>
      <c r="Z131" s="40">
        <f t="shared" si="141"/>
        <v>0</v>
      </c>
      <c r="AA131" s="44">
        <f t="shared" si="142"/>
        <v>3129.7218564067562</v>
      </c>
      <c r="AB131" s="35">
        <f t="shared" si="143"/>
        <v>7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484.76667501424987</v>
      </c>
      <c r="AD131" s="57">
        <v>0</v>
      </c>
      <c r="AE131" s="57">
        <v>0</v>
      </c>
      <c r="AF131" s="61">
        <f t="shared" si="131"/>
        <v>7</v>
      </c>
      <c r="AG131" s="40">
        <f t="shared" si="144"/>
        <v>0</v>
      </c>
      <c r="AH131" s="40">
        <f t="shared" si="145"/>
        <v>0</v>
      </c>
      <c r="AI131" s="44">
        <f t="shared" si="146"/>
        <v>3393.3667250997491</v>
      </c>
      <c r="AJ131" s="35">
        <f t="shared" si="132"/>
        <v>7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524.61961597500681</v>
      </c>
      <c r="AL131" s="57">
        <v>0</v>
      </c>
      <c r="AM131" s="57">
        <v>0</v>
      </c>
      <c r="AN131" s="61">
        <f t="shared" si="133"/>
        <v>7</v>
      </c>
      <c r="AO131" s="40">
        <f t="shared" si="147"/>
        <v>0</v>
      </c>
      <c r="AP131" s="40">
        <f t="shared" si="148"/>
        <v>0</v>
      </c>
      <c r="AQ131" s="44">
        <f t="shared" si="149"/>
        <v>3672.3373118250474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25</v>
      </c>
      <c r="G132" s="35">
        <f>SUMIFS(WORKING!$AC$3:$AC$6802,WORKING!$A$3:$A$6802,Results!$D$3,WORKING!$B$3:$B$6802,Results!A132,WORKING!$C$3:$C$6802,Results!C132)/1000</f>
        <v>22340.559979999998</v>
      </c>
      <c r="H132" s="35">
        <f t="shared" si="134"/>
        <v>893.6223991999999</v>
      </c>
      <c r="I132" s="187">
        <v>25</v>
      </c>
      <c r="J132" s="212">
        <v>22340</v>
      </c>
      <c r="K132" s="217">
        <f t="shared" si="135"/>
        <v>893.6</v>
      </c>
      <c r="L132" s="34">
        <f t="shared" si="128"/>
        <v>25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936.58977154823094</v>
      </c>
      <c r="N132" s="57">
        <v>5</v>
      </c>
      <c r="O132" s="57">
        <v>0</v>
      </c>
      <c r="P132" s="61">
        <f t="shared" si="129"/>
        <v>30</v>
      </c>
      <c r="Q132" s="40">
        <f t="shared" si="136"/>
        <v>4682.9488577411548</v>
      </c>
      <c r="R132" s="40">
        <f t="shared" si="137"/>
        <v>0</v>
      </c>
      <c r="S132" s="44">
        <f t="shared" si="138"/>
        <v>28097.693146446927</v>
      </c>
      <c r="T132" s="35">
        <f t="shared" si="139"/>
        <v>30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1007.3054988630493</v>
      </c>
      <c r="V132" s="57">
        <v>0</v>
      </c>
      <c r="W132" s="57">
        <v>0</v>
      </c>
      <c r="X132" s="61">
        <f t="shared" si="130"/>
        <v>30</v>
      </c>
      <c r="Y132" s="40">
        <f t="shared" si="140"/>
        <v>0</v>
      </c>
      <c r="Z132" s="40">
        <f t="shared" si="141"/>
        <v>0</v>
      </c>
      <c r="AA132" s="44">
        <f t="shared" si="142"/>
        <v>30219.164965891476</v>
      </c>
      <c r="AB132" s="35">
        <f t="shared" si="143"/>
        <v>30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1082.3384669556449</v>
      </c>
      <c r="AD132" s="57">
        <v>0</v>
      </c>
      <c r="AE132" s="57">
        <v>0</v>
      </c>
      <c r="AF132" s="61">
        <f t="shared" si="131"/>
        <v>30</v>
      </c>
      <c r="AG132" s="40">
        <f t="shared" si="144"/>
        <v>0</v>
      </c>
      <c r="AH132" s="40">
        <f t="shared" si="145"/>
        <v>0</v>
      </c>
      <c r="AI132" s="44">
        <f t="shared" si="146"/>
        <v>32470.154008669346</v>
      </c>
      <c r="AJ132" s="35">
        <f t="shared" si="132"/>
        <v>30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1160.7642128704945</v>
      </c>
      <c r="AL132" s="57">
        <v>0</v>
      </c>
      <c r="AM132" s="57">
        <v>0</v>
      </c>
      <c r="AN132" s="61">
        <f t="shared" si="133"/>
        <v>30</v>
      </c>
      <c r="AO132" s="40">
        <f t="shared" si="147"/>
        <v>0</v>
      </c>
      <c r="AP132" s="40">
        <f t="shared" si="148"/>
        <v>0</v>
      </c>
      <c r="AQ132" s="44">
        <f t="shared" si="149"/>
        <v>34822.926386114836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7</v>
      </c>
      <c r="G133" s="35">
        <f>SUMIFS(WORKING!$AC$3:$AC$6802,WORKING!$A$3:$A$6802,Results!$D$3,WORKING!$B$3:$B$6802,Results!A133,WORKING!$C$3:$C$6802,Results!C133)/1000</f>
        <v>7783.2299399999993</v>
      </c>
      <c r="H133" s="35">
        <f t="shared" si="134"/>
        <v>1111.8899914285714</v>
      </c>
      <c r="I133" s="187">
        <v>6</v>
      </c>
      <c r="J133" s="212">
        <v>7783</v>
      </c>
      <c r="K133" s="217">
        <f t="shared" si="135"/>
        <v>1297.1666666666667</v>
      </c>
      <c r="L133" s="34">
        <f t="shared" si="128"/>
        <v>6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1359.6519692766794</v>
      </c>
      <c r="N133" s="57">
        <v>1</v>
      </c>
      <c r="O133" s="57">
        <v>0</v>
      </c>
      <c r="P133" s="61">
        <f t="shared" si="129"/>
        <v>7</v>
      </c>
      <c r="Q133" s="40">
        <f t="shared" si="136"/>
        <v>1359.6519692766794</v>
      </c>
      <c r="R133" s="40">
        <f t="shared" si="137"/>
        <v>0</v>
      </c>
      <c r="S133" s="44">
        <f t="shared" si="138"/>
        <v>9517.5637849367558</v>
      </c>
      <c r="T133" s="35">
        <f t="shared" si="139"/>
        <v>7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1462.3969605944321</v>
      </c>
      <c r="V133" s="57">
        <v>0</v>
      </c>
      <c r="W133" s="57">
        <v>0</v>
      </c>
      <c r="X133" s="61">
        <f t="shared" si="130"/>
        <v>7</v>
      </c>
      <c r="Y133" s="40">
        <f t="shared" si="140"/>
        <v>0</v>
      </c>
      <c r="Z133" s="40">
        <f t="shared" si="141"/>
        <v>0</v>
      </c>
      <c r="AA133" s="44">
        <f t="shared" si="142"/>
        <v>10236.778724161024</v>
      </c>
      <c r="AB133" s="35">
        <f t="shared" si="143"/>
        <v>7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1571.4222219146184</v>
      </c>
      <c r="AD133" s="57">
        <v>0</v>
      </c>
      <c r="AE133" s="57">
        <v>0</v>
      </c>
      <c r="AF133" s="61">
        <f t="shared" si="131"/>
        <v>7</v>
      </c>
      <c r="AG133" s="40">
        <f t="shared" si="144"/>
        <v>0</v>
      </c>
      <c r="AH133" s="40">
        <f t="shared" si="145"/>
        <v>0</v>
      </c>
      <c r="AI133" s="44">
        <f t="shared" si="146"/>
        <v>10999.955553402329</v>
      </c>
      <c r="AJ133" s="35">
        <f t="shared" si="132"/>
        <v>7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1685.3865823067249</v>
      </c>
      <c r="AL133" s="57">
        <v>0</v>
      </c>
      <c r="AM133" s="57">
        <v>0</v>
      </c>
      <c r="AN133" s="61">
        <f t="shared" si="133"/>
        <v>7</v>
      </c>
      <c r="AO133" s="40">
        <f t="shared" si="147"/>
        <v>0</v>
      </c>
      <c r="AP133" s="40">
        <f t="shared" si="148"/>
        <v>0</v>
      </c>
      <c r="AQ133" s="44">
        <f t="shared" si="149"/>
        <v>11797.706076147075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0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1</v>
      </c>
      <c r="G135" s="35">
        <f>SUMIFS(WORKING!$AC$3:$AC$6802,WORKING!$A$3:$A$6802,Results!$D$3,WORKING!$B$3:$B$6802,Results!A135,WORKING!$C$3:$C$6802,Results!C135)/1000</f>
        <v>1656.6877999999999</v>
      </c>
      <c r="H135" s="35">
        <f t="shared" si="134"/>
        <v>1656.6877999999999</v>
      </c>
      <c r="I135" s="187">
        <v>1</v>
      </c>
      <c r="J135" s="212">
        <v>1656</v>
      </c>
      <c r="K135" s="217">
        <f t="shared" si="135"/>
        <v>1656</v>
      </c>
      <c r="L135" s="34">
        <f t="shared" si="128"/>
        <v>1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1735.6250775172755</v>
      </c>
      <c r="N135" s="57">
        <v>0</v>
      </c>
      <c r="O135" s="57">
        <v>0</v>
      </c>
      <c r="P135" s="61">
        <f t="shared" si="129"/>
        <v>1</v>
      </c>
      <c r="Q135" s="40">
        <f t="shared" si="136"/>
        <v>0</v>
      </c>
      <c r="R135" s="40">
        <f t="shared" si="137"/>
        <v>0</v>
      </c>
      <c r="S135" s="44">
        <f t="shared" si="138"/>
        <v>1735.6250775172755</v>
      </c>
      <c r="T135" s="35">
        <f t="shared" si="139"/>
        <v>1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1866.6248546102177</v>
      </c>
      <c r="V135" s="57">
        <v>0</v>
      </c>
      <c r="W135" s="57">
        <v>0</v>
      </c>
      <c r="X135" s="61">
        <f t="shared" si="130"/>
        <v>1</v>
      </c>
      <c r="Y135" s="40">
        <f t="shared" si="140"/>
        <v>0</v>
      </c>
      <c r="Z135" s="40">
        <f t="shared" si="141"/>
        <v>0</v>
      </c>
      <c r="AA135" s="44">
        <f t="shared" si="142"/>
        <v>1866.6248546102177</v>
      </c>
      <c r="AB135" s="35">
        <f t="shared" si="143"/>
        <v>1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2005.6182227724614</v>
      </c>
      <c r="AD135" s="57">
        <v>0</v>
      </c>
      <c r="AE135" s="57">
        <v>0</v>
      </c>
      <c r="AF135" s="61">
        <f t="shared" si="131"/>
        <v>1</v>
      </c>
      <c r="AG135" s="40">
        <f t="shared" si="144"/>
        <v>0</v>
      </c>
      <c r="AH135" s="40">
        <f t="shared" si="145"/>
        <v>0</v>
      </c>
      <c r="AI135" s="44">
        <f t="shared" si="146"/>
        <v>2005.6182227724614</v>
      </c>
      <c r="AJ135" s="35">
        <f t="shared" si="132"/>
        <v>1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2150.8915665417876</v>
      </c>
      <c r="AL135" s="57">
        <v>0</v>
      </c>
      <c r="AM135" s="57">
        <v>0</v>
      </c>
      <c r="AN135" s="61">
        <f t="shared" si="133"/>
        <v>1</v>
      </c>
      <c r="AO135" s="40">
        <f t="shared" si="147"/>
        <v>0</v>
      </c>
      <c r="AP135" s="40">
        <f t="shared" si="148"/>
        <v>0</v>
      </c>
      <c r="AQ135" s="44">
        <f t="shared" si="149"/>
        <v>2150.8915665417876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0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>
        <v>0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502</v>
      </c>
      <c r="G140" s="41">
        <f>SUM(G120:G139)</f>
        <v>116156.77906</v>
      </c>
      <c r="H140" s="41">
        <f>IFERROR(G140/F140,0)</f>
        <v>231.38800609561753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193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114228</v>
      </c>
      <c r="K140" s="41">
        <f>IFERROR(J140/I140,"")</f>
        <v>591.85492227979273</v>
      </c>
      <c r="L140" s="41">
        <f>SUM(L120:L139)</f>
        <v>193</v>
      </c>
      <c r="M140" s="41">
        <f>IFERROR(S140/P140,0)</f>
        <v>525.64917445814638</v>
      </c>
      <c r="N140" s="41">
        <f t="shared" ref="N140:T140" si="151">SUM(N120:N139)</f>
        <v>16</v>
      </c>
      <c r="O140" s="41">
        <f t="shared" si="151"/>
        <v>0</v>
      </c>
      <c r="P140" s="41">
        <f t="shared" si="151"/>
        <v>209</v>
      </c>
      <c r="Q140" s="41">
        <f t="shared" si="151"/>
        <v>11596.983393291184</v>
      </c>
      <c r="R140" s="41">
        <f t="shared" si="151"/>
        <v>0</v>
      </c>
      <c r="S140" s="45">
        <f t="shared" si="151"/>
        <v>109860.6774617526</v>
      </c>
      <c r="T140" s="41">
        <f t="shared" si="151"/>
        <v>209</v>
      </c>
      <c r="U140" s="41">
        <f>IFERROR(AA140/X140,0)</f>
        <v>568.62561762222674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209</v>
      </c>
      <c r="Y140" s="41">
        <f t="shared" si="152"/>
        <v>0</v>
      </c>
      <c r="Z140" s="41">
        <f t="shared" si="152"/>
        <v>0</v>
      </c>
      <c r="AA140" s="45">
        <f t="shared" si="152"/>
        <v>118842.75408304539</v>
      </c>
      <c r="AB140" s="41">
        <f t="shared" si="152"/>
        <v>209</v>
      </c>
      <c r="AC140" s="41">
        <f>IFERROR(AI140/AF140,0)</f>
        <v>614.55047425664213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209</v>
      </c>
      <c r="AG140" s="41">
        <f t="shared" si="153"/>
        <v>0</v>
      </c>
      <c r="AH140" s="41">
        <f t="shared" si="153"/>
        <v>0</v>
      </c>
      <c r="AI140" s="45">
        <f t="shared" si="153"/>
        <v>128441.04911963821</v>
      </c>
      <c r="AJ140" s="41">
        <f t="shared" si="153"/>
        <v>209</v>
      </c>
      <c r="AK140" s="41">
        <f>IFERROR(AQ140/AN140,0)</f>
        <v>662.95012787056726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209</v>
      </c>
      <c r="AO140" s="41">
        <f t="shared" si="154"/>
        <v>0</v>
      </c>
      <c r="AP140" s="41">
        <f t="shared" si="154"/>
        <v>0</v>
      </c>
      <c r="AQ140" s="45">
        <f t="shared" si="154"/>
        <v>138556.57672494857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103398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103303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106199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114270.12400000001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-6462.6774617525953</v>
      </c>
      <c r="T142" s="39"/>
      <c r="U142" s="39"/>
      <c r="V142" s="53"/>
      <c r="W142" s="53"/>
      <c r="X142" s="110"/>
      <c r="Y142" s="39"/>
      <c r="Z142" s="39"/>
      <c r="AA142" s="54">
        <f>AA141-AA140</f>
        <v>-15539.754083045395</v>
      </c>
      <c r="AB142" s="39"/>
      <c r="AC142" s="53"/>
      <c r="AD142" s="53"/>
      <c r="AE142" s="110"/>
      <c r="AF142" s="39"/>
      <c r="AG142" s="39"/>
      <c r="AH142" s="39"/>
      <c r="AI142" s="54">
        <f>AI141-AI140</f>
        <v>-22242.049119638206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-24286.452724948555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Methodology, Standards and Research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</v>
      </c>
      <c r="G152" s="35">
        <f>SUMIFS(WORKING!$AC$3:$AC$6802,WORKING!$A$3:$A$6802,Results!$D$3,WORKING!$B$3:$B$6802,Results!A152,WORKING!$C$3:$C$6802,Results!C152)/1000</f>
        <v>174.21394000000001</v>
      </c>
      <c r="H152" s="35">
        <f t="shared" si="161"/>
        <v>174.21394000000001</v>
      </c>
      <c r="I152" s="187">
        <v>2</v>
      </c>
      <c r="J152" s="212">
        <v>174</v>
      </c>
      <c r="K152" s="217">
        <f t="shared" si="162"/>
        <v>87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94.387347979884026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188.77469595976805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102.31722530106465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204.63445060212931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110.80959246637637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221.61918493275274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119.78214468043616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239.56428936087232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3</v>
      </c>
      <c r="G153" s="35">
        <f>SUMIFS(WORKING!$AC$3:$AC$6802,WORKING!$A$3:$A$6802,Results!$D$3,WORKING!$B$3:$B$6802,Results!A153,WORKING!$C$3:$C$6802,Results!C153)/1000</f>
        <v>607.63454999999999</v>
      </c>
      <c r="H153" s="35">
        <f t="shared" si="161"/>
        <v>202.54485</v>
      </c>
      <c r="I153" s="187">
        <v>6</v>
      </c>
      <c r="J153" s="212">
        <v>615</v>
      </c>
      <c r="K153" s="217">
        <f t="shared" si="162"/>
        <v>102.5</v>
      </c>
      <c r="L153" s="34">
        <f t="shared" si="155"/>
        <v>6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111.556140754552</v>
      </c>
      <c r="N153" s="57">
        <v>0</v>
      </c>
      <c r="O153" s="57">
        <v>0</v>
      </c>
      <c r="P153" s="61">
        <f t="shared" si="156"/>
        <v>6</v>
      </c>
      <c r="Q153" s="40">
        <f t="shared" si="163"/>
        <v>0</v>
      </c>
      <c r="R153" s="40">
        <f t="shared" si="164"/>
        <v>0</v>
      </c>
      <c r="S153" s="44">
        <f t="shared" si="165"/>
        <v>669.336844527312</v>
      </c>
      <c r="T153" s="35">
        <f t="shared" si="166"/>
        <v>6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121.03546709466525</v>
      </c>
      <c r="V153" s="57">
        <v>0</v>
      </c>
      <c r="W153" s="57">
        <v>0</v>
      </c>
      <c r="X153" s="61">
        <f t="shared" si="157"/>
        <v>6</v>
      </c>
      <c r="Y153" s="40">
        <f t="shared" si="167"/>
        <v>0</v>
      </c>
      <c r="Z153" s="40">
        <f t="shared" si="168"/>
        <v>0</v>
      </c>
      <c r="AA153" s="44">
        <f t="shared" si="169"/>
        <v>726.2128025679915</v>
      </c>
      <c r="AB153" s="35">
        <f t="shared" si="170"/>
        <v>6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131.19755919743199</v>
      </c>
      <c r="AD153" s="57">
        <v>0</v>
      </c>
      <c r="AE153" s="57">
        <v>0</v>
      </c>
      <c r="AF153" s="61">
        <f t="shared" si="158"/>
        <v>6</v>
      </c>
      <c r="AG153" s="40">
        <f t="shared" si="171"/>
        <v>0</v>
      </c>
      <c r="AH153" s="40">
        <f t="shared" si="172"/>
        <v>0</v>
      </c>
      <c r="AI153" s="44">
        <f t="shared" si="173"/>
        <v>787.18535518459191</v>
      </c>
      <c r="AJ153" s="35">
        <f t="shared" si="159"/>
        <v>6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141.94679519226284</v>
      </c>
      <c r="AL153" s="57">
        <v>0</v>
      </c>
      <c r="AM153" s="57">
        <v>0</v>
      </c>
      <c r="AN153" s="61">
        <f t="shared" si="160"/>
        <v>6</v>
      </c>
      <c r="AO153" s="40">
        <f t="shared" si="174"/>
        <v>0</v>
      </c>
      <c r="AP153" s="40">
        <f t="shared" si="175"/>
        <v>0</v>
      </c>
      <c r="AQ153" s="44">
        <f t="shared" si="176"/>
        <v>851.6807711535771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7</v>
      </c>
      <c r="G154" s="35">
        <f>SUMIFS(WORKING!$AC$3:$AC$6802,WORKING!$A$3:$A$6802,Results!$D$3,WORKING!$B$3:$B$6802,Results!A154,WORKING!$C$3:$C$6802,Results!C154)/1000</f>
        <v>2331.9261599999995</v>
      </c>
      <c r="H154" s="35">
        <f t="shared" si="161"/>
        <v>333.1323085714285</v>
      </c>
      <c r="I154" s="187">
        <v>6</v>
      </c>
      <c r="J154" s="212">
        <v>2368</v>
      </c>
      <c r="K154" s="217">
        <f t="shared" si="162"/>
        <v>394.66666666666669</v>
      </c>
      <c r="L154" s="34">
        <f t="shared" si="155"/>
        <v>6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429.36137073448299</v>
      </c>
      <c r="N154" s="57">
        <v>1</v>
      </c>
      <c r="O154" s="57">
        <v>0</v>
      </c>
      <c r="P154" s="61">
        <f t="shared" si="156"/>
        <v>7</v>
      </c>
      <c r="Q154" s="40">
        <f t="shared" si="163"/>
        <v>429.36137073448299</v>
      </c>
      <c r="R154" s="40">
        <f t="shared" si="164"/>
        <v>0</v>
      </c>
      <c r="S154" s="44">
        <f t="shared" si="165"/>
        <v>3005.5295951413809</v>
      </c>
      <c r="T154" s="35">
        <f t="shared" si="166"/>
        <v>7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465.79010905953214</v>
      </c>
      <c r="V154" s="57">
        <v>0</v>
      </c>
      <c r="W154" s="57">
        <v>0</v>
      </c>
      <c r="X154" s="61">
        <f t="shared" si="157"/>
        <v>7</v>
      </c>
      <c r="Y154" s="40">
        <f t="shared" si="167"/>
        <v>0</v>
      </c>
      <c r="Z154" s="40">
        <f t="shared" si="168"/>
        <v>0</v>
      </c>
      <c r="AA154" s="44">
        <f t="shared" si="169"/>
        <v>3260.5307634167248</v>
      </c>
      <c r="AB154" s="35">
        <f t="shared" si="170"/>
        <v>7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504.83747063319834</v>
      </c>
      <c r="AD154" s="57">
        <v>0</v>
      </c>
      <c r="AE154" s="57">
        <v>0</v>
      </c>
      <c r="AF154" s="61">
        <f t="shared" si="158"/>
        <v>7</v>
      </c>
      <c r="AG154" s="40">
        <f t="shared" si="171"/>
        <v>0</v>
      </c>
      <c r="AH154" s="40">
        <f t="shared" si="172"/>
        <v>0</v>
      </c>
      <c r="AI154" s="44">
        <f t="shared" si="173"/>
        <v>3533.8622944323884</v>
      </c>
      <c r="AJ154" s="35">
        <f t="shared" si="159"/>
        <v>7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546.13475490427948</v>
      </c>
      <c r="AL154" s="57">
        <v>0</v>
      </c>
      <c r="AM154" s="57">
        <v>0</v>
      </c>
      <c r="AN154" s="61">
        <f t="shared" si="160"/>
        <v>7</v>
      </c>
      <c r="AO154" s="40">
        <f t="shared" si="174"/>
        <v>0</v>
      </c>
      <c r="AP154" s="40">
        <f t="shared" si="175"/>
        <v>0</v>
      </c>
      <c r="AQ154" s="44">
        <f t="shared" si="176"/>
        <v>3822.9432843299564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35</v>
      </c>
      <c r="G155" s="35">
        <f>SUMIFS(WORKING!$AC$3:$AC$6802,WORKING!$A$3:$A$6802,Results!$D$3,WORKING!$B$3:$B$6802,Results!A155,WORKING!$C$3:$C$6802,Results!C155)/1000</f>
        <v>12068.563380000001</v>
      </c>
      <c r="H155" s="35">
        <f t="shared" si="161"/>
        <v>344.8160965714286</v>
      </c>
      <c r="I155" s="187">
        <v>33</v>
      </c>
      <c r="J155" s="212">
        <v>12272</v>
      </c>
      <c r="K155" s="217">
        <f t="shared" si="162"/>
        <v>371.87878787878788</v>
      </c>
      <c r="L155" s="34">
        <f t="shared" si="155"/>
        <v>33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404.9491667332295</v>
      </c>
      <c r="N155" s="57">
        <v>3</v>
      </c>
      <c r="O155" s="57">
        <v>0</v>
      </c>
      <c r="P155" s="61">
        <f t="shared" si="156"/>
        <v>36</v>
      </c>
      <c r="Q155" s="40">
        <f t="shared" si="163"/>
        <v>1214.8475001996885</v>
      </c>
      <c r="R155" s="40">
        <f t="shared" si="164"/>
        <v>0</v>
      </c>
      <c r="S155" s="44">
        <f t="shared" si="165"/>
        <v>14578.170002396262</v>
      </c>
      <c r="T155" s="35">
        <f t="shared" si="166"/>
        <v>36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439.42236352813802</v>
      </c>
      <c r="V155" s="57">
        <v>0</v>
      </c>
      <c r="W155" s="57">
        <v>0</v>
      </c>
      <c r="X155" s="61">
        <f t="shared" si="157"/>
        <v>36</v>
      </c>
      <c r="Y155" s="40">
        <f t="shared" si="167"/>
        <v>0</v>
      </c>
      <c r="Z155" s="40">
        <f t="shared" si="168"/>
        <v>0</v>
      </c>
      <c r="AA155" s="44">
        <f t="shared" si="169"/>
        <v>15819.205087012968</v>
      </c>
      <c r="AB155" s="35">
        <f t="shared" si="170"/>
        <v>36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476.3848001011898</v>
      </c>
      <c r="AD155" s="57">
        <v>0</v>
      </c>
      <c r="AE155" s="57">
        <v>0</v>
      </c>
      <c r="AF155" s="61">
        <f t="shared" si="158"/>
        <v>36</v>
      </c>
      <c r="AG155" s="40">
        <f t="shared" si="171"/>
        <v>0</v>
      </c>
      <c r="AH155" s="40">
        <f t="shared" si="172"/>
        <v>0</v>
      </c>
      <c r="AI155" s="44">
        <f t="shared" si="173"/>
        <v>17149.852803642832</v>
      </c>
      <c r="AJ155" s="35">
        <f t="shared" si="159"/>
        <v>36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515.49052283609706</v>
      </c>
      <c r="AL155" s="57">
        <v>0</v>
      </c>
      <c r="AM155" s="57">
        <v>0</v>
      </c>
      <c r="AN155" s="61">
        <f t="shared" si="160"/>
        <v>36</v>
      </c>
      <c r="AO155" s="40">
        <f t="shared" si="174"/>
        <v>0</v>
      </c>
      <c r="AP155" s="40">
        <f t="shared" si="175"/>
        <v>0</v>
      </c>
      <c r="AQ155" s="44">
        <f t="shared" si="176"/>
        <v>18557.658822099493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17</v>
      </c>
      <c r="G156" s="35">
        <f>SUMIFS(WORKING!$AC$3:$AC$6802,WORKING!$A$3:$A$6802,Results!$D$3,WORKING!$B$3:$B$6802,Results!A156,WORKING!$C$3:$C$6802,Results!C156)/1000</f>
        <v>6963.4146000000001</v>
      </c>
      <c r="H156" s="35">
        <f t="shared" si="161"/>
        <v>409.61262352941179</v>
      </c>
      <c r="I156" s="187">
        <v>18</v>
      </c>
      <c r="J156" s="212">
        <v>7048</v>
      </c>
      <c r="K156" s="217">
        <f t="shared" si="162"/>
        <v>391.55555555555554</v>
      </c>
      <c r="L156" s="34">
        <f t="shared" si="155"/>
        <v>18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426.57148445516088</v>
      </c>
      <c r="N156" s="57">
        <v>6</v>
      </c>
      <c r="O156" s="57">
        <v>0</v>
      </c>
      <c r="P156" s="61">
        <f t="shared" si="156"/>
        <v>24</v>
      </c>
      <c r="Q156" s="40">
        <f t="shared" si="163"/>
        <v>2559.4289067309655</v>
      </c>
      <c r="R156" s="40">
        <f t="shared" si="164"/>
        <v>0</v>
      </c>
      <c r="S156" s="44">
        <f t="shared" si="165"/>
        <v>10237.715626923862</v>
      </c>
      <c r="T156" s="35">
        <f t="shared" si="166"/>
        <v>24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462.94822927833565</v>
      </c>
      <c r="V156" s="57">
        <v>0</v>
      </c>
      <c r="W156" s="57">
        <v>0</v>
      </c>
      <c r="X156" s="61">
        <f t="shared" si="157"/>
        <v>24</v>
      </c>
      <c r="Y156" s="40">
        <f t="shared" si="167"/>
        <v>0</v>
      </c>
      <c r="Z156" s="40">
        <f t="shared" si="168"/>
        <v>0</v>
      </c>
      <c r="AA156" s="44">
        <f t="shared" si="169"/>
        <v>11110.757502680055</v>
      </c>
      <c r="AB156" s="35">
        <f t="shared" si="170"/>
        <v>24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501.95759168823815</v>
      </c>
      <c r="AD156" s="57">
        <v>0</v>
      </c>
      <c r="AE156" s="57">
        <v>0</v>
      </c>
      <c r="AF156" s="61">
        <f t="shared" si="158"/>
        <v>24</v>
      </c>
      <c r="AG156" s="40">
        <f t="shared" si="171"/>
        <v>0</v>
      </c>
      <c r="AH156" s="40">
        <f t="shared" si="172"/>
        <v>0</v>
      </c>
      <c r="AI156" s="44">
        <f t="shared" si="173"/>
        <v>12046.982200517716</v>
      </c>
      <c r="AJ156" s="35">
        <f t="shared" si="159"/>
        <v>24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543.23591072205625</v>
      </c>
      <c r="AL156" s="57">
        <v>0</v>
      </c>
      <c r="AM156" s="57">
        <v>0</v>
      </c>
      <c r="AN156" s="61">
        <f t="shared" si="160"/>
        <v>24</v>
      </c>
      <c r="AO156" s="40">
        <f t="shared" si="174"/>
        <v>0</v>
      </c>
      <c r="AP156" s="40">
        <f t="shared" si="175"/>
        <v>0</v>
      </c>
      <c r="AQ156" s="44">
        <f t="shared" si="176"/>
        <v>13037.661857329349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11</v>
      </c>
      <c r="G157" s="35">
        <f>SUMIFS(WORKING!$AC$3:$AC$6802,WORKING!$A$3:$A$6802,Results!$D$3,WORKING!$B$3:$B$6802,Results!A157,WORKING!$C$3:$C$6802,Results!C157)/1000</f>
        <v>5892.9912699999995</v>
      </c>
      <c r="H157" s="35">
        <f t="shared" si="161"/>
        <v>535.72647909090904</v>
      </c>
      <c r="I157" s="187">
        <v>11</v>
      </c>
      <c r="J157" s="212">
        <v>5970</v>
      </c>
      <c r="K157" s="217">
        <f t="shared" si="162"/>
        <v>542.72727272727275</v>
      </c>
      <c r="L157" s="34">
        <f t="shared" si="155"/>
        <v>11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591.53834811139689</v>
      </c>
      <c r="N157" s="57">
        <v>0</v>
      </c>
      <c r="O157" s="57">
        <v>0</v>
      </c>
      <c r="P157" s="61">
        <f t="shared" si="156"/>
        <v>11</v>
      </c>
      <c r="Q157" s="40">
        <f t="shared" si="163"/>
        <v>0</v>
      </c>
      <c r="R157" s="40">
        <f t="shared" si="164"/>
        <v>0</v>
      </c>
      <c r="S157" s="44">
        <f t="shared" si="165"/>
        <v>6506.9218292253654</v>
      </c>
      <c r="T157" s="35">
        <f t="shared" si="166"/>
        <v>11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642.06723804410274</v>
      </c>
      <c r="V157" s="57">
        <v>0</v>
      </c>
      <c r="W157" s="57">
        <v>0</v>
      </c>
      <c r="X157" s="61">
        <f t="shared" si="157"/>
        <v>11</v>
      </c>
      <c r="Y157" s="40">
        <f t="shared" si="167"/>
        <v>0</v>
      </c>
      <c r="Z157" s="40">
        <f t="shared" si="168"/>
        <v>0</v>
      </c>
      <c r="AA157" s="44">
        <f t="shared" si="169"/>
        <v>7062.7396184851304</v>
      </c>
      <c r="AB157" s="35">
        <f t="shared" si="170"/>
        <v>11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696.26112853980044</v>
      </c>
      <c r="AD157" s="57">
        <v>0</v>
      </c>
      <c r="AE157" s="57">
        <v>0</v>
      </c>
      <c r="AF157" s="61">
        <f t="shared" si="158"/>
        <v>11</v>
      </c>
      <c r="AG157" s="40">
        <f t="shared" si="171"/>
        <v>0</v>
      </c>
      <c r="AH157" s="40">
        <f t="shared" si="172"/>
        <v>0</v>
      </c>
      <c r="AI157" s="44">
        <f t="shared" si="173"/>
        <v>7658.8724139378046</v>
      </c>
      <c r="AJ157" s="35">
        <f t="shared" si="159"/>
        <v>11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753.61705011421282</v>
      </c>
      <c r="AL157" s="57">
        <v>0</v>
      </c>
      <c r="AM157" s="57">
        <v>0</v>
      </c>
      <c r="AN157" s="61">
        <f t="shared" si="160"/>
        <v>11</v>
      </c>
      <c r="AO157" s="40">
        <f t="shared" si="174"/>
        <v>0</v>
      </c>
      <c r="AP157" s="40">
        <f t="shared" si="175"/>
        <v>0</v>
      </c>
      <c r="AQ157" s="44">
        <f t="shared" si="176"/>
        <v>8289.7875512563405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9</v>
      </c>
      <c r="G158" s="35">
        <f>SUMIFS(WORKING!$AC$3:$AC$6802,WORKING!$A$3:$A$6802,Results!$D$3,WORKING!$B$3:$B$6802,Results!A158,WORKING!$C$3:$C$6802,Results!C158)/1000</f>
        <v>5164.3732199999995</v>
      </c>
      <c r="H158" s="35">
        <f t="shared" si="161"/>
        <v>573.81924666666657</v>
      </c>
      <c r="I158" s="187">
        <v>11</v>
      </c>
      <c r="J158" s="212">
        <v>5164</v>
      </c>
      <c r="K158" s="217">
        <f t="shared" si="162"/>
        <v>469.45454545454544</v>
      </c>
      <c r="L158" s="34">
        <f t="shared" si="155"/>
        <v>11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512.37949818769846</v>
      </c>
      <c r="N158" s="57">
        <v>1</v>
      </c>
      <c r="O158" s="57">
        <v>0</v>
      </c>
      <c r="P158" s="61">
        <f t="shared" si="156"/>
        <v>12</v>
      </c>
      <c r="Q158" s="40">
        <f t="shared" si="163"/>
        <v>512.37949818769846</v>
      </c>
      <c r="R158" s="40">
        <f t="shared" si="164"/>
        <v>0</v>
      </c>
      <c r="S158" s="44">
        <f t="shared" si="165"/>
        <v>6148.5539782523811</v>
      </c>
      <c r="T158" s="35">
        <f t="shared" si="166"/>
        <v>12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556.1109492330778</v>
      </c>
      <c r="V158" s="57">
        <v>0</v>
      </c>
      <c r="W158" s="57">
        <v>0</v>
      </c>
      <c r="X158" s="61">
        <f t="shared" si="157"/>
        <v>12</v>
      </c>
      <c r="Y158" s="40">
        <f t="shared" si="167"/>
        <v>0</v>
      </c>
      <c r="Z158" s="40">
        <f t="shared" si="168"/>
        <v>0</v>
      </c>
      <c r="AA158" s="44">
        <f t="shared" si="169"/>
        <v>6673.3313907969332</v>
      </c>
      <c r="AB158" s="35">
        <f t="shared" si="170"/>
        <v>12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603.0107790894549</v>
      </c>
      <c r="AD158" s="57">
        <v>0</v>
      </c>
      <c r="AE158" s="57">
        <v>0</v>
      </c>
      <c r="AF158" s="61">
        <f t="shared" si="158"/>
        <v>12</v>
      </c>
      <c r="AG158" s="40">
        <f t="shared" si="171"/>
        <v>0</v>
      </c>
      <c r="AH158" s="40">
        <f t="shared" si="172"/>
        <v>0</v>
      </c>
      <c r="AI158" s="44">
        <f t="shared" si="173"/>
        <v>7236.1293490734588</v>
      </c>
      <c r="AJ158" s="35">
        <f t="shared" si="159"/>
        <v>12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652.64260146678487</v>
      </c>
      <c r="AL158" s="57">
        <v>0</v>
      </c>
      <c r="AM158" s="57">
        <v>0</v>
      </c>
      <c r="AN158" s="61">
        <f t="shared" si="160"/>
        <v>12</v>
      </c>
      <c r="AO158" s="40">
        <f t="shared" si="174"/>
        <v>0</v>
      </c>
      <c r="AP158" s="40">
        <f t="shared" si="175"/>
        <v>0</v>
      </c>
      <c r="AQ158" s="44">
        <f t="shared" si="176"/>
        <v>7831.711217601418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7</v>
      </c>
      <c r="G159" s="35">
        <f>SUMIFS(WORKING!$AC$3:$AC$6802,WORKING!$A$3:$A$6802,Results!$D$3,WORKING!$B$3:$B$6802,Results!A159,WORKING!$C$3:$C$6802,Results!C159)/1000</f>
        <v>5320.6851000000006</v>
      </c>
      <c r="H159" s="35">
        <f t="shared" si="161"/>
        <v>760.09787142857147</v>
      </c>
      <c r="I159" s="187">
        <v>10</v>
      </c>
      <c r="J159" s="212">
        <v>5320</v>
      </c>
      <c r="K159" s="217">
        <f t="shared" si="162"/>
        <v>532</v>
      </c>
      <c r="L159" s="34">
        <f t="shared" si="155"/>
        <v>10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580.76648034798052</v>
      </c>
      <c r="N159" s="57">
        <v>0</v>
      </c>
      <c r="O159" s="57">
        <v>0</v>
      </c>
      <c r="P159" s="61">
        <f t="shared" si="156"/>
        <v>10</v>
      </c>
      <c r="Q159" s="40">
        <f t="shared" si="163"/>
        <v>0</v>
      </c>
      <c r="R159" s="40">
        <f t="shared" si="164"/>
        <v>0</v>
      </c>
      <c r="S159" s="44">
        <f t="shared" si="165"/>
        <v>5807.6648034798054</v>
      </c>
      <c r="T159" s="35">
        <f t="shared" si="166"/>
        <v>10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630.4678704623185</v>
      </c>
      <c r="V159" s="57">
        <v>0</v>
      </c>
      <c r="W159" s="57">
        <v>0</v>
      </c>
      <c r="X159" s="61">
        <f t="shared" si="157"/>
        <v>10</v>
      </c>
      <c r="Y159" s="40">
        <f t="shared" si="167"/>
        <v>0</v>
      </c>
      <c r="Z159" s="40">
        <f t="shared" si="168"/>
        <v>0</v>
      </c>
      <c r="AA159" s="44">
        <f t="shared" si="169"/>
        <v>6304.6787046231848</v>
      </c>
      <c r="AB159" s="35">
        <f t="shared" si="170"/>
        <v>10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683.78300640398925</v>
      </c>
      <c r="AD159" s="57">
        <v>0</v>
      </c>
      <c r="AE159" s="57">
        <v>0</v>
      </c>
      <c r="AF159" s="61">
        <f t="shared" si="158"/>
        <v>10</v>
      </c>
      <c r="AG159" s="40">
        <f t="shared" si="171"/>
        <v>0</v>
      </c>
      <c r="AH159" s="40">
        <f t="shared" si="172"/>
        <v>0</v>
      </c>
      <c r="AI159" s="44">
        <f t="shared" si="173"/>
        <v>6837.830064039892</v>
      </c>
      <c r="AJ159" s="35">
        <f t="shared" si="159"/>
        <v>10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740.21922725794991</v>
      </c>
      <c r="AL159" s="57">
        <v>0</v>
      </c>
      <c r="AM159" s="57">
        <v>0</v>
      </c>
      <c r="AN159" s="61">
        <f t="shared" si="160"/>
        <v>10</v>
      </c>
      <c r="AO159" s="40">
        <f t="shared" si="174"/>
        <v>0</v>
      </c>
      <c r="AP159" s="40">
        <f t="shared" si="175"/>
        <v>0</v>
      </c>
      <c r="AQ159" s="44">
        <f t="shared" si="176"/>
        <v>7402.1922725794993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12</v>
      </c>
      <c r="G160" s="35">
        <f>SUMIFS(WORKING!$AC$3:$AC$6802,WORKING!$A$3:$A$6802,Results!$D$3,WORKING!$B$3:$B$6802,Results!A160,WORKING!$C$3:$C$6802,Results!C160)/1000</f>
        <v>11016.77442</v>
      </c>
      <c r="H160" s="35">
        <f t="shared" si="161"/>
        <v>918.06453499999998</v>
      </c>
      <c r="I160" s="187">
        <v>15</v>
      </c>
      <c r="J160" s="212">
        <v>11016</v>
      </c>
      <c r="K160" s="217">
        <f t="shared" si="162"/>
        <v>734.4</v>
      </c>
      <c r="L160" s="34">
        <f t="shared" si="155"/>
        <v>15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769.41351724269418</v>
      </c>
      <c r="N160" s="57">
        <v>1</v>
      </c>
      <c r="O160" s="57">
        <v>0</v>
      </c>
      <c r="P160" s="61">
        <f t="shared" si="156"/>
        <v>16</v>
      </c>
      <c r="Q160" s="40">
        <f t="shared" si="163"/>
        <v>769.41351724269418</v>
      </c>
      <c r="R160" s="40">
        <f t="shared" si="164"/>
        <v>0</v>
      </c>
      <c r="S160" s="44">
        <f t="shared" si="165"/>
        <v>12310.616275883107</v>
      </c>
      <c r="T160" s="35">
        <f t="shared" si="166"/>
        <v>16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827.16566558830937</v>
      </c>
      <c r="V160" s="57">
        <v>0</v>
      </c>
      <c r="W160" s="57">
        <v>0</v>
      </c>
      <c r="X160" s="61">
        <f t="shared" si="157"/>
        <v>16</v>
      </c>
      <c r="Y160" s="40">
        <f t="shared" si="167"/>
        <v>0</v>
      </c>
      <c r="Z160" s="40">
        <f t="shared" si="168"/>
        <v>0</v>
      </c>
      <c r="AA160" s="44">
        <f t="shared" si="169"/>
        <v>13234.65064941295</v>
      </c>
      <c r="AB160" s="35">
        <f t="shared" si="170"/>
        <v>16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888.41377028742454</v>
      </c>
      <c r="AD160" s="57">
        <v>0</v>
      </c>
      <c r="AE160" s="57">
        <v>0</v>
      </c>
      <c r="AF160" s="61">
        <f t="shared" si="158"/>
        <v>16</v>
      </c>
      <c r="AG160" s="40">
        <f t="shared" si="171"/>
        <v>0</v>
      </c>
      <c r="AH160" s="40">
        <f t="shared" si="172"/>
        <v>0</v>
      </c>
      <c r="AI160" s="44">
        <f t="shared" si="173"/>
        <v>14214.620324598793</v>
      </c>
      <c r="AJ160" s="35">
        <f t="shared" si="159"/>
        <v>16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952.39496519304748</v>
      </c>
      <c r="AL160" s="57">
        <v>0</v>
      </c>
      <c r="AM160" s="57">
        <v>0</v>
      </c>
      <c r="AN160" s="61">
        <f t="shared" si="160"/>
        <v>16</v>
      </c>
      <c r="AO160" s="40">
        <f t="shared" si="174"/>
        <v>0</v>
      </c>
      <c r="AP160" s="40">
        <f t="shared" si="175"/>
        <v>0</v>
      </c>
      <c r="AQ160" s="44">
        <f t="shared" si="176"/>
        <v>15238.31944308876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</v>
      </c>
      <c r="G161" s="35">
        <f>SUMIFS(WORKING!$AC$3:$AC$6802,WORKING!$A$3:$A$6802,Results!$D$3,WORKING!$B$3:$B$6802,Results!A161,WORKING!$C$3:$C$6802,Results!C161)/1000</f>
        <v>3517.2096800000008</v>
      </c>
      <c r="H161" s="35">
        <f t="shared" si="161"/>
        <v>1172.403226666667</v>
      </c>
      <c r="I161" s="187">
        <v>5</v>
      </c>
      <c r="J161" s="212">
        <v>3632</v>
      </c>
      <c r="K161" s="217">
        <f t="shared" si="162"/>
        <v>726.4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761.53702307703861</v>
      </c>
      <c r="N161" s="57">
        <v>0</v>
      </c>
      <c r="O161" s="57">
        <v>0</v>
      </c>
      <c r="P161" s="61">
        <f t="shared" si="156"/>
        <v>5</v>
      </c>
      <c r="Q161" s="40">
        <f t="shared" si="163"/>
        <v>0</v>
      </c>
      <c r="R161" s="40">
        <f t="shared" si="164"/>
        <v>0</v>
      </c>
      <c r="S161" s="44">
        <f t="shared" si="165"/>
        <v>3807.6851153851931</v>
      </c>
      <c r="T161" s="35">
        <f t="shared" si="166"/>
        <v>5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819.24113794354093</v>
      </c>
      <c r="V161" s="57">
        <v>0</v>
      </c>
      <c r="W161" s="57">
        <v>0</v>
      </c>
      <c r="X161" s="61">
        <f t="shared" si="157"/>
        <v>5</v>
      </c>
      <c r="Y161" s="40">
        <f t="shared" si="167"/>
        <v>0</v>
      </c>
      <c r="Z161" s="40">
        <f t="shared" si="168"/>
        <v>0</v>
      </c>
      <c r="AA161" s="44">
        <f t="shared" si="169"/>
        <v>4096.2056897177044</v>
      </c>
      <c r="AB161" s="35">
        <f t="shared" si="170"/>
        <v>5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880.48624781535341</v>
      </c>
      <c r="AD161" s="57">
        <v>0</v>
      </c>
      <c r="AE161" s="57">
        <v>0</v>
      </c>
      <c r="AF161" s="61">
        <f t="shared" si="158"/>
        <v>5</v>
      </c>
      <c r="AG161" s="40">
        <f t="shared" si="171"/>
        <v>0</v>
      </c>
      <c r="AH161" s="40">
        <f t="shared" si="172"/>
        <v>0</v>
      </c>
      <c r="AI161" s="44">
        <f t="shared" si="173"/>
        <v>4402.4312390767673</v>
      </c>
      <c r="AJ161" s="35">
        <f t="shared" si="159"/>
        <v>5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944.52276413967604</v>
      </c>
      <c r="AL161" s="57">
        <v>0</v>
      </c>
      <c r="AM161" s="57">
        <v>0</v>
      </c>
      <c r="AN161" s="61">
        <f t="shared" si="160"/>
        <v>5</v>
      </c>
      <c r="AO161" s="40">
        <f t="shared" si="174"/>
        <v>0</v>
      </c>
      <c r="AP161" s="40">
        <f t="shared" si="175"/>
        <v>0</v>
      </c>
      <c r="AQ161" s="44">
        <f t="shared" si="176"/>
        <v>4722.6138206983806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1383.6378500000001</v>
      </c>
      <c r="H162" s="35">
        <f t="shared" si="161"/>
        <v>1383.6378500000001</v>
      </c>
      <c r="I162" s="187">
        <v>2</v>
      </c>
      <c r="J162" s="212">
        <v>1281</v>
      </c>
      <c r="K162" s="217">
        <f t="shared" si="162"/>
        <v>640.5</v>
      </c>
      <c r="L162" s="34">
        <f t="shared" si="155"/>
        <v>2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670.75313432528083</v>
      </c>
      <c r="N162" s="57">
        <v>0</v>
      </c>
      <c r="O162" s="57">
        <v>0</v>
      </c>
      <c r="P162" s="61">
        <f t="shared" si="156"/>
        <v>2</v>
      </c>
      <c r="Q162" s="40">
        <f t="shared" si="163"/>
        <v>0</v>
      </c>
      <c r="R162" s="40">
        <f t="shared" si="164"/>
        <v>0</v>
      </c>
      <c r="S162" s="44">
        <f t="shared" si="165"/>
        <v>1341.5062686505617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720.79510915679464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1441.5902183135893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773.83977125653564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1547.6795425130713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829.21908450021249</v>
      </c>
      <c r="AL162" s="57">
        <v>0</v>
      </c>
      <c r="AM162" s="57">
        <v>0</v>
      </c>
      <c r="AN162" s="61">
        <f t="shared" si="160"/>
        <v>2</v>
      </c>
      <c r="AO162" s="40">
        <f t="shared" si="174"/>
        <v>0</v>
      </c>
      <c r="AP162" s="40">
        <f t="shared" si="175"/>
        <v>0</v>
      </c>
      <c r="AQ162" s="44">
        <f t="shared" si="176"/>
        <v>1658.438169000425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>
        <v>0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106</v>
      </c>
      <c r="G168" s="41">
        <f>SUM(G148:G167)</f>
        <v>54441.424170000006</v>
      </c>
      <c r="H168" s="41">
        <f>IFERROR(G168/F168,0)</f>
        <v>513.59834122641519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119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54860</v>
      </c>
      <c r="K168" s="41">
        <f>IFERROR(J168/I168,"")</f>
        <v>461.00840336134456</v>
      </c>
      <c r="L168" s="41">
        <f>SUM(L148:L167)</f>
        <v>119</v>
      </c>
      <c r="M168" s="41">
        <f>IFERROR(S168/P168,0)</f>
        <v>493.14866439561064</v>
      </c>
      <c r="N168" s="41">
        <f t="shared" ref="N168:T168" si="177">SUM(N148:N167)</f>
        <v>12</v>
      </c>
      <c r="O168" s="41">
        <f t="shared" si="177"/>
        <v>0</v>
      </c>
      <c r="P168" s="41">
        <f t="shared" si="177"/>
        <v>131</v>
      </c>
      <c r="Q168" s="41">
        <f t="shared" si="177"/>
        <v>5485.4307930955292</v>
      </c>
      <c r="R168" s="41">
        <f t="shared" si="177"/>
        <v>0</v>
      </c>
      <c r="S168" s="45">
        <f t="shared" si="177"/>
        <v>64602.475035824995</v>
      </c>
      <c r="T168" s="41">
        <f t="shared" si="177"/>
        <v>131</v>
      </c>
      <c r="U168" s="41">
        <f>IFERROR(AA168/X168,0)</f>
        <v>533.85142654678907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131</v>
      </c>
      <c r="Y168" s="41">
        <f t="shared" si="178"/>
        <v>0</v>
      </c>
      <c r="Z168" s="41">
        <f t="shared" si="178"/>
        <v>0</v>
      </c>
      <c r="AA168" s="45">
        <f t="shared" si="178"/>
        <v>69934.536877629362</v>
      </c>
      <c r="AB168" s="41">
        <f t="shared" si="178"/>
        <v>131</v>
      </c>
      <c r="AC168" s="41">
        <f>IFERROR(AI168/AF168,0)</f>
        <v>577.38217383167989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131</v>
      </c>
      <c r="AG168" s="41">
        <f t="shared" si="179"/>
        <v>0</v>
      </c>
      <c r="AH168" s="41">
        <f t="shared" si="179"/>
        <v>0</v>
      </c>
      <c r="AI168" s="45">
        <f t="shared" si="179"/>
        <v>75637.06477195007</v>
      </c>
      <c r="AJ168" s="41">
        <f t="shared" si="179"/>
        <v>131</v>
      </c>
      <c r="AK168" s="41">
        <f>IFERROR(AQ168/AN168,0)</f>
        <v>623.30207250761885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131</v>
      </c>
      <c r="AO168" s="41">
        <f t="shared" si="180"/>
        <v>0</v>
      </c>
      <c r="AP168" s="41">
        <f t="shared" si="180"/>
        <v>0</v>
      </c>
      <c r="AQ168" s="45">
        <f t="shared" si="180"/>
        <v>81652.571498498073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65388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62508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62860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67637.36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785.52496417500515</v>
      </c>
      <c r="T170" s="39"/>
      <c r="U170" s="39"/>
      <c r="V170" s="53"/>
      <c r="W170" s="53"/>
      <c r="X170" s="110"/>
      <c r="Y170" s="39"/>
      <c r="Z170" s="39"/>
      <c r="AA170" s="54">
        <f>AA169-AA168</f>
        <v>-7426.5368776293617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-12777.06477195007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-14015.211498498073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Statistical Support and Informatics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0</v>
      </c>
      <c r="J178" s="212">
        <v>0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10</v>
      </c>
      <c r="J179" s="212">
        <v>122</v>
      </c>
      <c r="K179" s="217">
        <f t="shared" si="188"/>
        <v>12.2</v>
      </c>
      <c r="L179" s="34">
        <f t="shared" si="181"/>
        <v>10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13.10069775115381</v>
      </c>
      <c r="N179" s="57">
        <v>0</v>
      </c>
      <c r="O179" s="57">
        <v>0</v>
      </c>
      <c r="P179" s="61">
        <f t="shared" si="182"/>
        <v>10</v>
      </c>
      <c r="Q179" s="40">
        <f t="shared" si="189"/>
        <v>0</v>
      </c>
      <c r="R179" s="40">
        <f t="shared" si="190"/>
        <v>0</v>
      </c>
      <c r="S179" s="44">
        <f t="shared" si="191"/>
        <v>131.00697751153808</v>
      </c>
      <c r="T179" s="35">
        <f t="shared" si="192"/>
        <v>10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14.018180478351114</v>
      </c>
      <c r="V179" s="57">
        <v>0</v>
      </c>
      <c r="W179" s="57">
        <v>0</v>
      </c>
      <c r="X179" s="61">
        <f t="shared" si="183"/>
        <v>10</v>
      </c>
      <c r="Y179" s="40">
        <f t="shared" si="193"/>
        <v>0</v>
      </c>
      <c r="Z179" s="40">
        <f t="shared" si="194"/>
        <v>0</v>
      </c>
      <c r="AA179" s="44">
        <f t="shared" si="195"/>
        <v>140.18180478351115</v>
      </c>
      <c r="AB179" s="35">
        <f t="shared" si="196"/>
        <v>10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14.985899202266948</v>
      </c>
      <c r="AD179" s="57">
        <v>0</v>
      </c>
      <c r="AE179" s="57">
        <v>0</v>
      </c>
      <c r="AF179" s="61">
        <f t="shared" si="184"/>
        <v>10</v>
      </c>
      <c r="AG179" s="40">
        <f t="shared" si="197"/>
        <v>0</v>
      </c>
      <c r="AH179" s="40">
        <f t="shared" si="198"/>
        <v>0</v>
      </c>
      <c r="AI179" s="44">
        <f t="shared" si="199"/>
        <v>149.85899202266947</v>
      </c>
      <c r="AJ179" s="35">
        <f t="shared" si="185"/>
        <v>10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15.990450769797484</v>
      </c>
      <c r="AL179" s="57">
        <v>0</v>
      </c>
      <c r="AM179" s="57">
        <v>0</v>
      </c>
      <c r="AN179" s="61">
        <f t="shared" si="186"/>
        <v>10</v>
      </c>
      <c r="AO179" s="40">
        <f t="shared" si="200"/>
        <v>0</v>
      </c>
      <c r="AP179" s="40">
        <f t="shared" si="201"/>
        <v>0</v>
      </c>
      <c r="AQ179" s="44">
        <f t="shared" si="202"/>
        <v>159.90450769797485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9</v>
      </c>
      <c r="G180" s="35">
        <f>SUMIFS(WORKING!$AC$3:$AC$6802,WORKING!$A$3:$A$6802,Results!$D$3,WORKING!$B$3:$B$6802,Results!A180,WORKING!$C$3:$C$6802,Results!C180)/1000</f>
        <v>1790.6432000000002</v>
      </c>
      <c r="H180" s="35">
        <f t="shared" si="187"/>
        <v>198.96035555555557</v>
      </c>
      <c r="I180" s="187">
        <v>10</v>
      </c>
      <c r="J180" s="212">
        <v>1800</v>
      </c>
      <c r="K180" s="217">
        <f t="shared" si="188"/>
        <v>180</v>
      </c>
      <c r="L180" s="34">
        <f t="shared" si="181"/>
        <v>10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195.74527476028899</v>
      </c>
      <c r="N180" s="57">
        <v>2</v>
      </c>
      <c r="O180" s="57">
        <v>0</v>
      </c>
      <c r="P180" s="61">
        <f t="shared" si="182"/>
        <v>12</v>
      </c>
      <c r="Q180" s="40">
        <f t="shared" si="189"/>
        <v>391.49054952057799</v>
      </c>
      <c r="R180" s="40">
        <f t="shared" si="190"/>
        <v>0</v>
      </c>
      <c r="S180" s="44">
        <f t="shared" si="191"/>
        <v>2348.9432971234678</v>
      </c>
      <c r="T180" s="35">
        <f t="shared" si="192"/>
        <v>12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212.32755437752715</v>
      </c>
      <c r="V180" s="57">
        <v>0</v>
      </c>
      <c r="W180" s="57">
        <v>0</v>
      </c>
      <c r="X180" s="61">
        <f t="shared" si="183"/>
        <v>12</v>
      </c>
      <c r="Y180" s="40">
        <f t="shared" si="193"/>
        <v>0</v>
      </c>
      <c r="Z180" s="40">
        <f t="shared" si="194"/>
        <v>0</v>
      </c>
      <c r="AA180" s="44">
        <f t="shared" si="195"/>
        <v>2547.9306525303259</v>
      </c>
      <c r="AB180" s="35">
        <f t="shared" si="196"/>
        <v>12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230.09944166872015</v>
      </c>
      <c r="AD180" s="57">
        <v>0</v>
      </c>
      <c r="AE180" s="57">
        <v>0</v>
      </c>
      <c r="AF180" s="61">
        <f t="shared" si="184"/>
        <v>12</v>
      </c>
      <c r="AG180" s="40">
        <f t="shared" si="197"/>
        <v>0</v>
      </c>
      <c r="AH180" s="40">
        <f t="shared" si="198"/>
        <v>0</v>
      </c>
      <c r="AI180" s="44">
        <f t="shared" si="199"/>
        <v>2761.1933000246418</v>
      </c>
      <c r="AJ180" s="35">
        <f t="shared" si="185"/>
        <v>12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248.8925552837205</v>
      </c>
      <c r="AL180" s="57">
        <v>0</v>
      </c>
      <c r="AM180" s="57">
        <v>0</v>
      </c>
      <c r="AN180" s="61">
        <f t="shared" si="186"/>
        <v>12</v>
      </c>
      <c r="AO180" s="40">
        <f t="shared" si="200"/>
        <v>0</v>
      </c>
      <c r="AP180" s="40">
        <f t="shared" si="201"/>
        <v>0</v>
      </c>
      <c r="AQ180" s="44">
        <f t="shared" si="202"/>
        <v>2986.7106634046459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14</v>
      </c>
      <c r="G181" s="35">
        <f>SUMIFS(WORKING!$AC$3:$AC$6802,WORKING!$A$3:$A$6802,Results!$D$3,WORKING!$B$3:$B$6802,Results!A181,WORKING!$C$3:$C$6802,Results!C181)/1000</f>
        <v>3759.1619200000009</v>
      </c>
      <c r="H181" s="35">
        <f t="shared" si="187"/>
        <v>268.51156571428578</v>
      </c>
      <c r="I181" s="187">
        <v>13</v>
      </c>
      <c r="J181" s="212">
        <v>3808</v>
      </c>
      <c r="K181" s="217">
        <f t="shared" si="188"/>
        <v>292.92307692307691</v>
      </c>
      <c r="L181" s="34">
        <f t="shared" si="181"/>
        <v>13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318.48325000950473</v>
      </c>
      <c r="N181" s="57">
        <v>4</v>
      </c>
      <c r="O181" s="57">
        <v>0</v>
      </c>
      <c r="P181" s="61">
        <f t="shared" si="182"/>
        <v>17</v>
      </c>
      <c r="Q181" s="40">
        <f t="shared" si="189"/>
        <v>1273.9330000380189</v>
      </c>
      <c r="R181" s="40">
        <f t="shared" si="190"/>
        <v>0</v>
      </c>
      <c r="S181" s="44">
        <f t="shared" si="191"/>
        <v>5414.2152501615801</v>
      </c>
      <c r="T181" s="35">
        <f t="shared" si="192"/>
        <v>17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345.44605561517</v>
      </c>
      <c r="V181" s="57">
        <v>0</v>
      </c>
      <c r="W181" s="57">
        <v>0</v>
      </c>
      <c r="X181" s="61">
        <f t="shared" si="183"/>
        <v>17</v>
      </c>
      <c r="Y181" s="40">
        <f t="shared" si="193"/>
        <v>0</v>
      </c>
      <c r="Z181" s="40">
        <f t="shared" si="194"/>
        <v>0</v>
      </c>
      <c r="AA181" s="44">
        <f t="shared" si="195"/>
        <v>5872.5829454578898</v>
      </c>
      <c r="AB181" s="35">
        <f t="shared" si="196"/>
        <v>17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374.34142651171783</v>
      </c>
      <c r="AD181" s="57">
        <v>0</v>
      </c>
      <c r="AE181" s="57">
        <v>0</v>
      </c>
      <c r="AF181" s="61">
        <f t="shared" si="184"/>
        <v>17</v>
      </c>
      <c r="AG181" s="40">
        <f t="shared" si="197"/>
        <v>0</v>
      </c>
      <c r="AH181" s="40">
        <f t="shared" si="198"/>
        <v>0</v>
      </c>
      <c r="AI181" s="44">
        <f t="shared" si="199"/>
        <v>6363.8042506992033</v>
      </c>
      <c r="AJ181" s="35">
        <f t="shared" si="185"/>
        <v>17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404.89501104595456</v>
      </c>
      <c r="AL181" s="57">
        <v>0</v>
      </c>
      <c r="AM181" s="57">
        <v>0</v>
      </c>
      <c r="AN181" s="61">
        <f t="shared" si="186"/>
        <v>17</v>
      </c>
      <c r="AO181" s="40">
        <f t="shared" si="200"/>
        <v>0</v>
      </c>
      <c r="AP181" s="40">
        <f t="shared" si="201"/>
        <v>0</v>
      </c>
      <c r="AQ181" s="44">
        <f t="shared" si="202"/>
        <v>6883.2151877812275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8</v>
      </c>
      <c r="G182" s="35">
        <f>SUMIFS(WORKING!$AC$3:$AC$6802,WORKING!$A$3:$A$6802,Results!$D$3,WORKING!$B$3:$B$6802,Results!A182,WORKING!$C$3:$C$6802,Results!C182)/1000</f>
        <v>2385.8768799999998</v>
      </c>
      <c r="H182" s="35">
        <f t="shared" si="187"/>
        <v>298.23460999999998</v>
      </c>
      <c r="I182" s="187">
        <v>9</v>
      </c>
      <c r="J182" s="212">
        <v>2498</v>
      </c>
      <c r="K182" s="217">
        <f t="shared" si="188"/>
        <v>277.55555555555554</v>
      </c>
      <c r="L182" s="34">
        <f t="shared" si="181"/>
        <v>9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302.1518263208136</v>
      </c>
      <c r="N182" s="57">
        <v>1</v>
      </c>
      <c r="O182" s="57">
        <v>0</v>
      </c>
      <c r="P182" s="61">
        <f t="shared" si="182"/>
        <v>10</v>
      </c>
      <c r="Q182" s="40">
        <f t="shared" si="189"/>
        <v>302.1518263208136</v>
      </c>
      <c r="R182" s="40">
        <f t="shared" si="190"/>
        <v>0</v>
      </c>
      <c r="S182" s="44">
        <f t="shared" si="191"/>
        <v>3021.518263208136</v>
      </c>
      <c r="T182" s="35">
        <f t="shared" si="192"/>
        <v>10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327.84694537023307</v>
      </c>
      <c r="V182" s="57">
        <v>0</v>
      </c>
      <c r="W182" s="57">
        <v>0</v>
      </c>
      <c r="X182" s="61">
        <f t="shared" si="183"/>
        <v>10</v>
      </c>
      <c r="Y182" s="40">
        <f t="shared" si="193"/>
        <v>0</v>
      </c>
      <c r="Z182" s="40">
        <f t="shared" si="194"/>
        <v>0</v>
      </c>
      <c r="AA182" s="44">
        <f t="shared" si="195"/>
        <v>3278.4694537023306</v>
      </c>
      <c r="AB182" s="35">
        <f t="shared" si="196"/>
        <v>10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355.39488019025089</v>
      </c>
      <c r="AD182" s="57">
        <v>0</v>
      </c>
      <c r="AE182" s="57">
        <v>0</v>
      </c>
      <c r="AF182" s="61">
        <f t="shared" si="184"/>
        <v>10</v>
      </c>
      <c r="AG182" s="40">
        <f t="shared" si="197"/>
        <v>0</v>
      </c>
      <c r="AH182" s="40">
        <f t="shared" si="198"/>
        <v>0</v>
      </c>
      <c r="AI182" s="44">
        <f t="shared" si="199"/>
        <v>3553.9488019025089</v>
      </c>
      <c r="AJ182" s="35">
        <f t="shared" si="185"/>
        <v>10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384.53711864772669</v>
      </c>
      <c r="AL182" s="57">
        <v>0</v>
      </c>
      <c r="AM182" s="57">
        <v>0</v>
      </c>
      <c r="AN182" s="61">
        <f t="shared" si="186"/>
        <v>10</v>
      </c>
      <c r="AO182" s="40">
        <f t="shared" si="200"/>
        <v>0</v>
      </c>
      <c r="AP182" s="40">
        <f t="shared" si="201"/>
        <v>0</v>
      </c>
      <c r="AQ182" s="44">
        <f t="shared" si="202"/>
        <v>3845.3711864772667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15</v>
      </c>
      <c r="G183" s="35">
        <f>SUMIFS(WORKING!$AC$3:$AC$6802,WORKING!$A$3:$A$6802,Results!$D$3,WORKING!$B$3:$B$6802,Results!A183,WORKING!$C$3:$C$6802,Results!C183)/1000</f>
        <v>5085.5027900000023</v>
      </c>
      <c r="H183" s="35">
        <f t="shared" si="187"/>
        <v>339.03351933333346</v>
      </c>
      <c r="I183" s="187">
        <v>13</v>
      </c>
      <c r="J183" s="212">
        <v>5133</v>
      </c>
      <c r="K183" s="217">
        <f t="shared" si="188"/>
        <v>394.84615384615387</v>
      </c>
      <c r="L183" s="34">
        <f t="shared" si="181"/>
        <v>13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429.99566093918827</v>
      </c>
      <c r="N183" s="57">
        <v>4</v>
      </c>
      <c r="O183" s="57">
        <v>0</v>
      </c>
      <c r="P183" s="61">
        <f t="shared" si="182"/>
        <v>17</v>
      </c>
      <c r="Q183" s="40">
        <f t="shared" si="189"/>
        <v>1719.9826437567531</v>
      </c>
      <c r="R183" s="40">
        <f t="shared" si="190"/>
        <v>0</v>
      </c>
      <c r="S183" s="44">
        <f t="shared" si="191"/>
        <v>7309.9262359662007</v>
      </c>
      <c r="T183" s="35">
        <f t="shared" si="192"/>
        <v>17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466.61357419385644</v>
      </c>
      <c r="V183" s="57">
        <v>0</v>
      </c>
      <c r="W183" s="57">
        <v>0</v>
      </c>
      <c r="X183" s="61">
        <f t="shared" si="183"/>
        <v>17</v>
      </c>
      <c r="Y183" s="40">
        <f t="shared" si="193"/>
        <v>0</v>
      </c>
      <c r="Z183" s="40">
        <f t="shared" si="194"/>
        <v>0</v>
      </c>
      <c r="AA183" s="44">
        <f t="shared" si="195"/>
        <v>7932.430761295559</v>
      </c>
      <c r="AB183" s="35">
        <f t="shared" si="196"/>
        <v>17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505.87673362315491</v>
      </c>
      <c r="AD183" s="57">
        <v>0</v>
      </c>
      <c r="AE183" s="57">
        <v>0</v>
      </c>
      <c r="AF183" s="61">
        <f t="shared" si="184"/>
        <v>17</v>
      </c>
      <c r="AG183" s="40">
        <f t="shared" si="197"/>
        <v>0</v>
      </c>
      <c r="AH183" s="40">
        <f t="shared" si="198"/>
        <v>0</v>
      </c>
      <c r="AI183" s="44">
        <f t="shared" si="199"/>
        <v>8599.9044715936325</v>
      </c>
      <c r="AJ183" s="35">
        <f t="shared" si="185"/>
        <v>17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547.41788926392132</v>
      </c>
      <c r="AL183" s="57">
        <v>0</v>
      </c>
      <c r="AM183" s="57">
        <v>0</v>
      </c>
      <c r="AN183" s="61">
        <f t="shared" si="186"/>
        <v>17</v>
      </c>
      <c r="AO183" s="40">
        <f t="shared" si="200"/>
        <v>0</v>
      </c>
      <c r="AP183" s="40">
        <f t="shared" si="201"/>
        <v>0</v>
      </c>
      <c r="AQ183" s="44">
        <f t="shared" si="202"/>
        <v>9306.1041174866623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63</v>
      </c>
      <c r="G184" s="35">
        <f>SUMIFS(WORKING!$AC$3:$AC$6802,WORKING!$A$3:$A$6802,Results!$D$3,WORKING!$B$3:$B$6802,Results!A184,WORKING!$C$3:$C$6802,Results!C184)/1000</f>
        <v>26222.267079999994</v>
      </c>
      <c r="H184" s="35">
        <f t="shared" si="187"/>
        <v>416.22646158730151</v>
      </c>
      <c r="I184" s="187">
        <v>67</v>
      </c>
      <c r="J184" s="212">
        <v>26616</v>
      </c>
      <c r="K184" s="217">
        <f t="shared" si="188"/>
        <v>397.25373134328356</v>
      </c>
      <c r="L184" s="34">
        <f t="shared" si="181"/>
        <v>67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432.73537207952592</v>
      </c>
      <c r="N184" s="57">
        <v>12</v>
      </c>
      <c r="O184" s="57">
        <v>0</v>
      </c>
      <c r="P184" s="61">
        <f t="shared" si="182"/>
        <v>79</v>
      </c>
      <c r="Q184" s="40">
        <f t="shared" si="189"/>
        <v>5192.8244649543112</v>
      </c>
      <c r="R184" s="40">
        <f t="shared" si="190"/>
        <v>0</v>
      </c>
      <c r="S184" s="44">
        <f t="shared" si="191"/>
        <v>34186.094394282547</v>
      </c>
      <c r="T184" s="35">
        <f t="shared" si="192"/>
        <v>79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469.62331277838854</v>
      </c>
      <c r="V184" s="57">
        <v>0</v>
      </c>
      <c r="W184" s="57">
        <v>0</v>
      </c>
      <c r="X184" s="61">
        <f t="shared" si="183"/>
        <v>79</v>
      </c>
      <c r="Y184" s="40">
        <f t="shared" si="193"/>
        <v>0</v>
      </c>
      <c r="Z184" s="40">
        <f t="shared" si="194"/>
        <v>0</v>
      </c>
      <c r="AA184" s="44">
        <f t="shared" si="195"/>
        <v>37100.241709492693</v>
      </c>
      <c r="AB184" s="35">
        <f t="shared" si="196"/>
        <v>79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509.17952588650627</v>
      </c>
      <c r="AD184" s="57">
        <v>0</v>
      </c>
      <c r="AE184" s="57">
        <v>0</v>
      </c>
      <c r="AF184" s="61">
        <f t="shared" si="184"/>
        <v>79</v>
      </c>
      <c r="AG184" s="40">
        <f t="shared" si="197"/>
        <v>0</v>
      </c>
      <c r="AH184" s="40">
        <f t="shared" si="198"/>
        <v>0</v>
      </c>
      <c r="AI184" s="44">
        <f t="shared" si="199"/>
        <v>40225.182545033997</v>
      </c>
      <c r="AJ184" s="35">
        <f t="shared" si="185"/>
        <v>79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551.03494653375219</v>
      </c>
      <c r="AL184" s="57">
        <v>0</v>
      </c>
      <c r="AM184" s="57">
        <v>0</v>
      </c>
      <c r="AN184" s="61">
        <f t="shared" si="186"/>
        <v>79</v>
      </c>
      <c r="AO184" s="40">
        <f t="shared" si="200"/>
        <v>0</v>
      </c>
      <c r="AP184" s="40">
        <f t="shared" si="201"/>
        <v>0</v>
      </c>
      <c r="AQ184" s="44">
        <f t="shared" si="202"/>
        <v>43531.760776166426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11</v>
      </c>
      <c r="G185" s="35">
        <f>SUMIFS(WORKING!$AC$3:$AC$6802,WORKING!$A$3:$A$6802,Results!$D$3,WORKING!$B$3:$B$6802,Results!A185,WORKING!$C$3:$C$6802,Results!C185)/1000</f>
        <v>6122.9582900000005</v>
      </c>
      <c r="H185" s="35">
        <f t="shared" si="187"/>
        <v>556.63257181818187</v>
      </c>
      <c r="I185" s="187">
        <v>9</v>
      </c>
      <c r="J185" s="212">
        <v>6194</v>
      </c>
      <c r="K185" s="217">
        <f t="shared" si="188"/>
        <v>688.22222222222217</v>
      </c>
      <c r="L185" s="34">
        <f t="shared" si="181"/>
        <v>9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750.14618804890847</v>
      </c>
      <c r="N185" s="57">
        <v>0</v>
      </c>
      <c r="O185" s="57">
        <v>0</v>
      </c>
      <c r="P185" s="61">
        <f t="shared" si="182"/>
        <v>9</v>
      </c>
      <c r="Q185" s="40">
        <f t="shared" si="189"/>
        <v>0</v>
      </c>
      <c r="R185" s="40">
        <f t="shared" si="190"/>
        <v>0</v>
      </c>
      <c r="S185" s="44">
        <f t="shared" si="191"/>
        <v>6751.3156924401765</v>
      </c>
      <c r="T185" s="35">
        <f t="shared" si="192"/>
        <v>9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814.23238220633198</v>
      </c>
      <c r="V185" s="57">
        <v>0</v>
      </c>
      <c r="W185" s="57">
        <v>0</v>
      </c>
      <c r="X185" s="61">
        <f t="shared" si="183"/>
        <v>9</v>
      </c>
      <c r="Y185" s="40">
        <f t="shared" si="193"/>
        <v>0</v>
      </c>
      <c r="Z185" s="40">
        <f t="shared" si="194"/>
        <v>0</v>
      </c>
      <c r="AA185" s="44">
        <f t="shared" si="195"/>
        <v>7328.0914398569876</v>
      </c>
      <c r="AB185" s="35">
        <f t="shared" si="196"/>
        <v>9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882.96777257053509</v>
      </c>
      <c r="AD185" s="57">
        <v>0</v>
      </c>
      <c r="AE185" s="57">
        <v>0</v>
      </c>
      <c r="AF185" s="61">
        <f t="shared" si="184"/>
        <v>9</v>
      </c>
      <c r="AG185" s="40">
        <f t="shared" si="197"/>
        <v>0</v>
      </c>
      <c r="AH185" s="40">
        <f t="shared" si="198"/>
        <v>0</v>
      </c>
      <c r="AI185" s="44">
        <f t="shared" si="199"/>
        <v>7946.7099531348158</v>
      </c>
      <c r="AJ185" s="35">
        <f t="shared" si="185"/>
        <v>9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955.71462386410462</v>
      </c>
      <c r="AL185" s="57">
        <v>0</v>
      </c>
      <c r="AM185" s="57">
        <v>0</v>
      </c>
      <c r="AN185" s="61">
        <f t="shared" si="186"/>
        <v>9</v>
      </c>
      <c r="AO185" s="40">
        <f t="shared" si="200"/>
        <v>0</v>
      </c>
      <c r="AP185" s="40">
        <f t="shared" si="201"/>
        <v>0</v>
      </c>
      <c r="AQ185" s="44">
        <f t="shared" si="202"/>
        <v>8601.4316147769423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34</v>
      </c>
      <c r="G186" s="35">
        <f>SUMIFS(WORKING!$AC$3:$AC$6802,WORKING!$A$3:$A$6802,Results!$D$3,WORKING!$B$3:$B$6802,Results!A186,WORKING!$C$3:$C$6802,Results!C186)/1000</f>
        <v>19398.208569999995</v>
      </c>
      <c r="H186" s="35">
        <f t="shared" si="187"/>
        <v>570.53554617647046</v>
      </c>
      <c r="I186" s="187">
        <v>36</v>
      </c>
      <c r="J186" s="212">
        <v>19382</v>
      </c>
      <c r="K186" s="217">
        <f t="shared" si="188"/>
        <v>538.38888888888891</v>
      </c>
      <c r="L186" s="34">
        <f t="shared" si="181"/>
        <v>36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587.68598219662078</v>
      </c>
      <c r="N186" s="57">
        <v>13</v>
      </c>
      <c r="O186" s="57">
        <v>0</v>
      </c>
      <c r="P186" s="61">
        <f t="shared" si="182"/>
        <v>49</v>
      </c>
      <c r="Q186" s="40">
        <f t="shared" si="189"/>
        <v>7639.9177685560699</v>
      </c>
      <c r="R186" s="40">
        <f t="shared" si="190"/>
        <v>0</v>
      </c>
      <c r="S186" s="44">
        <f t="shared" si="191"/>
        <v>28796.613127634417</v>
      </c>
      <c r="T186" s="35">
        <f t="shared" si="192"/>
        <v>49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637.91979904821403</v>
      </c>
      <c r="V186" s="57">
        <v>0</v>
      </c>
      <c r="W186" s="57">
        <v>0</v>
      </c>
      <c r="X186" s="61">
        <f t="shared" si="183"/>
        <v>49</v>
      </c>
      <c r="Y186" s="40">
        <f t="shared" si="193"/>
        <v>0</v>
      </c>
      <c r="Z186" s="40">
        <f t="shared" si="194"/>
        <v>0</v>
      </c>
      <c r="AA186" s="44">
        <f t="shared" si="195"/>
        <v>31258.070153362489</v>
      </c>
      <c r="AB186" s="35">
        <f t="shared" si="196"/>
        <v>49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691.80032026681522</v>
      </c>
      <c r="AD186" s="57">
        <v>0</v>
      </c>
      <c r="AE186" s="57">
        <v>0</v>
      </c>
      <c r="AF186" s="61">
        <f t="shared" si="184"/>
        <v>49</v>
      </c>
      <c r="AG186" s="40">
        <f t="shared" si="197"/>
        <v>0</v>
      </c>
      <c r="AH186" s="40">
        <f t="shared" si="198"/>
        <v>0</v>
      </c>
      <c r="AI186" s="44">
        <f t="shared" si="199"/>
        <v>33898.215693073944</v>
      </c>
      <c r="AJ186" s="35">
        <f t="shared" si="185"/>
        <v>49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748.82812949345259</v>
      </c>
      <c r="AL186" s="57">
        <v>0</v>
      </c>
      <c r="AM186" s="57">
        <v>0</v>
      </c>
      <c r="AN186" s="61">
        <f t="shared" si="186"/>
        <v>49</v>
      </c>
      <c r="AO186" s="40">
        <f t="shared" si="200"/>
        <v>0</v>
      </c>
      <c r="AP186" s="40">
        <f t="shared" si="201"/>
        <v>0</v>
      </c>
      <c r="AQ186" s="44">
        <f t="shared" si="202"/>
        <v>36692.578345179179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24</v>
      </c>
      <c r="G187" s="35">
        <f>SUMIFS(WORKING!$AC$3:$AC$6802,WORKING!$A$3:$A$6802,Results!$D$3,WORKING!$B$3:$B$6802,Results!A187,WORKING!$C$3:$C$6802,Results!C187)/1000</f>
        <v>18230.731469999999</v>
      </c>
      <c r="H187" s="35">
        <f t="shared" si="187"/>
        <v>759.61381124999991</v>
      </c>
      <c r="I187" s="187">
        <v>24</v>
      </c>
      <c r="J187" s="212">
        <v>18276</v>
      </c>
      <c r="K187" s="217">
        <f t="shared" si="188"/>
        <v>761.5</v>
      </c>
      <c r="L187" s="34">
        <f t="shared" si="181"/>
        <v>24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831.40276198140839</v>
      </c>
      <c r="N187" s="57">
        <v>1</v>
      </c>
      <c r="O187" s="57">
        <v>0</v>
      </c>
      <c r="P187" s="61">
        <f t="shared" si="182"/>
        <v>25</v>
      </c>
      <c r="Q187" s="40">
        <f t="shared" si="189"/>
        <v>831.40276198140839</v>
      </c>
      <c r="R187" s="40">
        <f t="shared" si="190"/>
        <v>0</v>
      </c>
      <c r="S187" s="44">
        <f t="shared" si="191"/>
        <v>20785.06904953521</v>
      </c>
      <c r="T187" s="35">
        <f t="shared" si="192"/>
        <v>25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902.66067914583141</v>
      </c>
      <c r="V187" s="57">
        <v>0</v>
      </c>
      <c r="W187" s="57">
        <v>0</v>
      </c>
      <c r="X187" s="61">
        <f t="shared" si="183"/>
        <v>25</v>
      </c>
      <c r="Y187" s="40">
        <f t="shared" si="193"/>
        <v>0</v>
      </c>
      <c r="Z187" s="40">
        <f t="shared" si="194"/>
        <v>0</v>
      </c>
      <c r="AA187" s="44">
        <f t="shared" si="195"/>
        <v>22566.516978645785</v>
      </c>
      <c r="AB187" s="35">
        <f t="shared" si="196"/>
        <v>25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979.11006196956976</v>
      </c>
      <c r="AD187" s="57">
        <v>0</v>
      </c>
      <c r="AE187" s="57">
        <v>0</v>
      </c>
      <c r="AF187" s="61">
        <f t="shared" si="184"/>
        <v>25</v>
      </c>
      <c r="AG187" s="40">
        <f t="shared" si="197"/>
        <v>0</v>
      </c>
      <c r="AH187" s="40">
        <f t="shared" si="198"/>
        <v>0</v>
      </c>
      <c r="AI187" s="44">
        <f t="shared" si="199"/>
        <v>24477.751549239245</v>
      </c>
      <c r="AJ187" s="35">
        <f t="shared" si="185"/>
        <v>25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1060.0472336957757</v>
      </c>
      <c r="AL187" s="57">
        <v>0</v>
      </c>
      <c r="AM187" s="57">
        <v>0</v>
      </c>
      <c r="AN187" s="61">
        <f t="shared" si="186"/>
        <v>25</v>
      </c>
      <c r="AO187" s="40">
        <f t="shared" si="200"/>
        <v>0</v>
      </c>
      <c r="AP187" s="40">
        <f t="shared" si="201"/>
        <v>0</v>
      </c>
      <c r="AQ187" s="44">
        <f t="shared" si="202"/>
        <v>26501.180842394395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27</v>
      </c>
      <c r="G188" s="35">
        <f>SUMIFS(WORKING!$AC$3:$AC$6802,WORKING!$A$3:$A$6802,Results!$D$3,WORKING!$B$3:$B$6802,Results!A188,WORKING!$C$3:$C$6802,Results!C188)/1000</f>
        <v>24561.754330000003</v>
      </c>
      <c r="H188" s="35">
        <f t="shared" si="187"/>
        <v>909.69460481481497</v>
      </c>
      <c r="I188" s="187">
        <v>26</v>
      </c>
      <c r="J188" s="212">
        <v>24561</v>
      </c>
      <c r="K188" s="217">
        <f t="shared" si="188"/>
        <v>944.65384615384619</v>
      </c>
      <c r="L188" s="34">
        <f t="shared" si="181"/>
        <v>26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989.89167144547662</v>
      </c>
      <c r="N188" s="57">
        <v>2</v>
      </c>
      <c r="O188" s="57">
        <v>0</v>
      </c>
      <c r="P188" s="61">
        <f t="shared" si="182"/>
        <v>28</v>
      </c>
      <c r="Q188" s="40">
        <f t="shared" si="189"/>
        <v>1979.7833428909532</v>
      </c>
      <c r="R188" s="40">
        <f t="shared" si="190"/>
        <v>0</v>
      </c>
      <c r="S188" s="44">
        <f t="shared" si="191"/>
        <v>27716.966800473347</v>
      </c>
      <c r="T188" s="35">
        <f t="shared" si="192"/>
        <v>28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1064.4081401133867</v>
      </c>
      <c r="V188" s="57">
        <v>0</v>
      </c>
      <c r="W188" s="57">
        <v>0</v>
      </c>
      <c r="X188" s="61">
        <f t="shared" si="183"/>
        <v>28</v>
      </c>
      <c r="Y188" s="40">
        <f t="shared" si="193"/>
        <v>0</v>
      </c>
      <c r="Z188" s="40">
        <f t="shared" si="194"/>
        <v>0</v>
      </c>
      <c r="AA188" s="44">
        <f t="shared" si="195"/>
        <v>29803.42792317483</v>
      </c>
      <c r="AB188" s="35">
        <f t="shared" si="196"/>
        <v>28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1143.4542655306757</v>
      </c>
      <c r="AD188" s="57">
        <v>0</v>
      </c>
      <c r="AE188" s="57">
        <v>0</v>
      </c>
      <c r="AF188" s="61">
        <f t="shared" si="184"/>
        <v>28</v>
      </c>
      <c r="AG188" s="40">
        <f t="shared" si="197"/>
        <v>0</v>
      </c>
      <c r="AH188" s="40">
        <f t="shared" si="198"/>
        <v>0</v>
      </c>
      <c r="AI188" s="44">
        <f t="shared" si="199"/>
        <v>32016.719434858918</v>
      </c>
      <c r="AJ188" s="35">
        <f t="shared" si="185"/>
        <v>28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1226.0507232318098</v>
      </c>
      <c r="AL188" s="57">
        <v>0</v>
      </c>
      <c r="AM188" s="57">
        <v>0</v>
      </c>
      <c r="AN188" s="61">
        <f t="shared" si="186"/>
        <v>28</v>
      </c>
      <c r="AO188" s="40">
        <f t="shared" si="200"/>
        <v>0</v>
      </c>
      <c r="AP188" s="40">
        <f t="shared" si="201"/>
        <v>0</v>
      </c>
      <c r="AQ188" s="44">
        <f t="shared" si="202"/>
        <v>34329.420250490672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5</v>
      </c>
      <c r="G189" s="35">
        <f>SUMIFS(WORKING!$AC$3:$AC$6802,WORKING!$A$3:$A$6802,Results!$D$3,WORKING!$B$3:$B$6802,Results!A189,WORKING!$C$3:$C$6802,Results!C189)/1000</f>
        <v>5573.3244799999993</v>
      </c>
      <c r="H189" s="35">
        <f t="shared" si="187"/>
        <v>1114.6648959999998</v>
      </c>
      <c r="I189" s="187">
        <v>4</v>
      </c>
      <c r="J189" s="212">
        <v>5573</v>
      </c>
      <c r="K189" s="217">
        <f t="shared" si="188"/>
        <v>1393.25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1460.1652560310235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5840.6610241240942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1570.2923422380679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6281.1693689522717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1687.1321834856258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6748.5287339425031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1809.242306291063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7236.9692251642518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1386.3578599999998</v>
      </c>
      <c r="H190" s="35">
        <f t="shared" si="187"/>
        <v>1386.3578599999998</v>
      </c>
      <c r="I190" s="187">
        <v>1</v>
      </c>
      <c r="J190" s="212">
        <v>1386</v>
      </c>
      <c r="K190" s="217">
        <f t="shared" si="188"/>
        <v>1386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1451.9082102778807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1451.9082102778807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1560.7043314745144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1560.7043314745144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1676.0702022384407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1676.0702022384407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1796.564450078946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1796.564450078946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>
        <v>0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>
        <v>0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>
        <v>0</v>
      </c>
      <c r="J195" s="213">
        <v>0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211</v>
      </c>
      <c r="G196" s="41">
        <f>SUM(G176:G195)</f>
        <v>114516.78686999998</v>
      </c>
      <c r="H196" s="41">
        <f>IFERROR(G196/F196,0)</f>
        <v>542.73358706161127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222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115349</v>
      </c>
      <c r="K196" s="41">
        <f>IFERROR(J196/I196,"")</f>
        <v>519.59009009009014</v>
      </c>
      <c r="L196" s="41">
        <f>SUM(L176:L195)</f>
        <v>222</v>
      </c>
      <c r="M196" s="41">
        <f>IFERROR(S196/P196,0)</f>
        <v>550.78252230934322</v>
      </c>
      <c r="N196" s="41">
        <f t="shared" ref="N196:T196" si="203">SUM(N176:N195)</f>
        <v>39</v>
      </c>
      <c r="O196" s="41">
        <f t="shared" si="203"/>
        <v>0</v>
      </c>
      <c r="P196" s="41">
        <f t="shared" si="203"/>
        <v>261</v>
      </c>
      <c r="Q196" s="41">
        <f t="shared" si="203"/>
        <v>19331.486358018909</v>
      </c>
      <c r="R196" s="41">
        <f t="shared" si="203"/>
        <v>0</v>
      </c>
      <c r="S196" s="45">
        <f t="shared" si="203"/>
        <v>143754.23832273859</v>
      </c>
      <c r="T196" s="41">
        <f t="shared" si="203"/>
        <v>261</v>
      </c>
      <c r="U196" s="41">
        <f>IFERROR(AA196/X196,0)</f>
        <v>596.43608246256406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261</v>
      </c>
      <c r="Y196" s="41">
        <f t="shared" si="204"/>
        <v>0</v>
      </c>
      <c r="Z196" s="41">
        <f t="shared" si="204"/>
        <v>0</v>
      </c>
      <c r="AA196" s="45">
        <f t="shared" si="204"/>
        <v>155669.81752272922</v>
      </c>
      <c r="AB196" s="41">
        <f t="shared" si="204"/>
        <v>261</v>
      </c>
      <c r="AC196" s="41">
        <f>IFERROR(AI196/AF196,0)</f>
        <v>645.2792640910518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261</v>
      </c>
      <c r="AG196" s="41">
        <f t="shared" si="205"/>
        <v>0</v>
      </c>
      <c r="AH196" s="41">
        <f t="shared" si="205"/>
        <v>0</v>
      </c>
      <c r="AI196" s="45">
        <f t="shared" si="205"/>
        <v>168417.88792776453</v>
      </c>
      <c r="AJ196" s="41">
        <f t="shared" si="205"/>
        <v>261</v>
      </c>
      <c r="AK196" s="41">
        <f>IFERROR(AQ196/AN196,0)</f>
        <v>696.82456385861519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261</v>
      </c>
      <c r="AO196" s="41">
        <f t="shared" si="206"/>
        <v>0</v>
      </c>
      <c r="AP196" s="41">
        <f t="shared" si="206"/>
        <v>0</v>
      </c>
      <c r="AQ196" s="45">
        <f t="shared" si="206"/>
        <v>181871.21116709858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136500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132085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133650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143807.40000000002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-7254.2383227385872</v>
      </c>
      <c r="T198" s="39"/>
      <c r="U198" s="39"/>
      <c r="V198" s="53"/>
      <c r="W198" s="53"/>
      <c r="X198" s="110"/>
      <c r="Y198" s="39"/>
      <c r="Z198" s="39"/>
      <c r="AA198" s="54">
        <f>AA197-AA196</f>
        <v>-23584.817522729223</v>
      </c>
      <c r="AB198" s="39"/>
      <c r="AC198" s="53"/>
      <c r="AD198" s="53"/>
      <c r="AE198" s="110"/>
      <c r="AF198" s="39"/>
      <c r="AG198" s="39"/>
      <c r="AH198" s="39"/>
      <c r="AI198" s="54">
        <f>AI197-AI196</f>
        <v>-34767.887927764532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-38063.811167098553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Statistical Collection and Outreach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12</v>
      </c>
      <c r="G204" s="35">
        <f>SUMIFS(WORKING!$AC$3:$AC$6802,WORKING!$A$3:$A$6802,Results!$D$3,WORKING!$B$3:$B$6802,Results!A204,WORKING!$C$3:$C$6802,Results!C204)/1000</f>
        <v>1984.8408000000009</v>
      </c>
      <c r="H204" s="35">
        <f>IFERROR(G204/F204,0)</f>
        <v>165.40340000000006</v>
      </c>
      <c r="I204" s="156">
        <v>0</v>
      </c>
      <c r="J204" s="211">
        <v>2218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180.63315279587465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196.17066632616201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212.84556142603503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230.50579045601449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85</v>
      </c>
      <c r="G205" s="35">
        <f>SUMIFS(WORKING!$AC$3:$AC$6802,WORKING!$A$3:$A$6802,Results!$D$3,WORKING!$B$3:$B$6802,Results!A205,WORKING!$C$3:$C$6802,Results!C205)/1000</f>
        <v>9703.2951599999997</v>
      </c>
      <c r="H205" s="35">
        <f t="shared" ref="H205:H223" si="213">IFERROR(G205/F205,0)</f>
        <v>114.15641364705883</v>
      </c>
      <c r="I205" s="187">
        <v>84</v>
      </c>
      <c r="J205" s="212">
        <v>9795</v>
      </c>
      <c r="K205" s="217">
        <f t="shared" ref="K205:K223" si="214">IFERROR(IF(J205="",G205,J205)/IF(I205="",F205,I205),"")</f>
        <v>116.60714285714286</v>
      </c>
      <c r="L205" s="34">
        <f t="shared" si="207"/>
        <v>84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126.19644576250033</v>
      </c>
      <c r="N205" s="57">
        <v>1</v>
      </c>
      <c r="O205" s="57">
        <v>0</v>
      </c>
      <c r="P205" s="61">
        <f t="shared" si="208"/>
        <v>85</v>
      </c>
      <c r="Q205" s="40">
        <f t="shared" ref="Q205:Q223" si="215">M205*N205</f>
        <v>126.19644576250033</v>
      </c>
      <c r="R205" s="40">
        <f t="shared" ref="R205:R223" si="216">-M205*O205</f>
        <v>0</v>
      </c>
      <c r="S205" s="44">
        <f t="shared" ref="S205:S223" si="217">M205*P205</f>
        <v>10726.697889812529</v>
      </c>
      <c r="T205" s="35">
        <f t="shared" ref="T205:T223" si="218">P205</f>
        <v>85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136.70035494718397</v>
      </c>
      <c r="V205" s="57">
        <v>0</v>
      </c>
      <c r="W205" s="57">
        <v>0</v>
      </c>
      <c r="X205" s="61">
        <f t="shared" si="209"/>
        <v>85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11619.530170510638</v>
      </c>
      <c r="AB205" s="35">
        <f t="shared" ref="AB205:AB223" si="222">X205</f>
        <v>85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147.94017188605983</v>
      </c>
      <c r="AD205" s="57">
        <v>0</v>
      </c>
      <c r="AE205" s="57">
        <v>0</v>
      </c>
      <c r="AF205" s="61">
        <f t="shared" si="210"/>
        <v>85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12574.914610315085</v>
      </c>
      <c r="AJ205" s="35">
        <f t="shared" si="211"/>
        <v>85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159.80463479647918</v>
      </c>
      <c r="AL205" s="57">
        <v>0</v>
      </c>
      <c r="AM205" s="57">
        <v>0</v>
      </c>
      <c r="AN205" s="61">
        <f t="shared" si="212"/>
        <v>85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13583.39395770073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>
        <v>0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63</v>
      </c>
      <c r="G207" s="35">
        <f>SUMIFS(WORKING!$AC$3:$AC$6802,WORKING!$A$3:$A$6802,Results!$D$3,WORKING!$B$3:$B$6802,Results!A207,WORKING!$C$3:$C$6802,Results!C207)/1000</f>
        <v>9823.0596600000008</v>
      </c>
      <c r="H207" s="35">
        <f t="shared" si="213"/>
        <v>155.92158190476192</v>
      </c>
      <c r="I207" s="187">
        <v>66</v>
      </c>
      <c r="J207" s="212">
        <v>9956</v>
      </c>
      <c r="K207" s="217">
        <f t="shared" si="214"/>
        <v>150.84848484848484</v>
      </c>
      <c r="L207" s="34">
        <f t="shared" si="207"/>
        <v>66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163.77611927507419</v>
      </c>
      <c r="N207" s="57">
        <v>2</v>
      </c>
      <c r="O207" s="57">
        <v>0</v>
      </c>
      <c r="P207" s="61">
        <f t="shared" si="208"/>
        <v>68</v>
      </c>
      <c r="Q207" s="40">
        <f t="shared" si="215"/>
        <v>327.55223855014839</v>
      </c>
      <c r="R207" s="40">
        <f t="shared" si="216"/>
        <v>0</v>
      </c>
      <c r="S207" s="44">
        <f t="shared" si="217"/>
        <v>11136.776110705045</v>
      </c>
      <c r="T207" s="35">
        <f t="shared" si="218"/>
        <v>68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177.56772286228633</v>
      </c>
      <c r="V207" s="57">
        <v>0</v>
      </c>
      <c r="W207" s="57">
        <v>0</v>
      </c>
      <c r="X207" s="61">
        <f t="shared" si="209"/>
        <v>68</v>
      </c>
      <c r="Y207" s="40">
        <f t="shared" si="219"/>
        <v>0</v>
      </c>
      <c r="Z207" s="40">
        <f t="shared" si="220"/>
        <v>0</v>
      </c>
      <c r="AA207" s="44">
        <f t="shared" si="221"/>
        <v>12074.60515463547</v>
      </c>
      <c r="AB207" s="35">
        <f t="shared" si="222"/>
        <v>68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192.34087837885795</v>
      </c>
      <c r="AD207" s="57">
        <v>0</v>
      </c>
      <c r="AE207" s="57">
        <v>0</v>
      </c>
      <c r="AF207" s="61">
        <f t="shared" si="210"/>
        <v>68</v>
      </c>
      <c r="AG207" s="40">
        <f t="shared" si="223"/>
        <v>0</v>
      </c>
      <c r="AH207" s="40">
        <f t="shared" si="224"/>
        <v>0</v>
      </c>
      <c r="AI207" s="44">
        <f t="shared" si="225"/>
        <v>13079.179729762342</v>
      </c>
      <c r="AJ207" s="35">
        <f t="shared" si="211"/>
        <v>68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207.95351529730289</v>
      </c>
      <c r="AL207" s="57">
        <v>0</v>
      </c>
      <c r="AM207" s="57">
        <v>0</v>
      </c>
      <c r="AN207" s="61">
        <f t="shared" si="212"/>
        <v>68</v>
      </c>
      <c r="AO207" s="40">
        <f t="shared" si="226"/>
        <v>0</v>
      </c>
      <c r="AP207" s="40">
        <f t="shared" si="227"/>
        <v>0</v>
      </c>
      <c r="AQ207" s="44">
        <f t="shared" si="228"/>
        <v>14140.839040216597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20</v>
      </c>
      <c r="G208" s="35">
        <f>SUMIFS(WORKING!$AC$3:$AC$6802,WORKING!$A$3:$A$6802,Results!$D$3,WORKING!$B$3:$B$6802,Results!A208,WORKING!$C$3:$C$6802,Results!C208)/1000</f>
        <v>2871.1382499999991</v>
      </c>
      <c r="H208" s="35">
        <f t="shared" si="213"/>
        <v>143.55691249999995</v>
      </c>
      <c r="I208" s="187">
        <v>19</v>
      </c>
      <c r="J208" s="212">
        <v>2894</v>
      </c>
      <c r="K208" s="217">
        <f t="shared" si="214"/>
        <v>152.31578947368422</v>
      </c>
      <c r="L208" s="34">
        <f t="shared" si="207"/>
        <v>19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165.77897587414904</v>
      </c>
      <c r="N208" s="57">
        <v>3</v>
      </c>
      <c r="O208" s="57">
        <v>0</v>
      </c>
      <c r="P208" s="61">
        <f t="shared" si="208"/>
        <v>22</v>
      </c>
      <c r="Q208" s="40">
        <f t="shared" si="215"/>
        <v>497.33692762244709</v>
      </c>
      <c r="R208" s="40">
        <f t="shared" si="216"/>
        <v>0</v>
      </c>
      <c r="S208" s="44">
        <f t="shared" si="217"/>
        <v>3647.1374692312788</v>
      </c>
      <c r="T208" s="35">
        <f t="shared" si="218"/>
        <v>22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179.86566900956939</v>
      </c>
      <c r="V208" s="57">
        <v>0</v>
      </c>
      <c r="W208" s="57">
        <v>0</v>
      </c>
      <c r="X208" s="61">
        <f t="shared" si="209"/>
        <v>22</v>
      </c>
      <c r="Y208" s="40">
        <f t="shared" si="219"/>
        <v>0</v>
      </c>
      <c r="Z208" s="40">
        <f t="shared" si="220"/>
        <v>0</v>
      </c>
      <c r="AA208" s="44">
        <f t="shared" si="221"/>
        <v>3957.0447182105263</v>
      </c>
      <c r="AB208" s="35">
        <f t="shared" si="222"/>
        <v>22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194.96705869196629</v>
      </c>
      <c r="AD208" s="57">
        <v>0</v>
      </c>
      <c r="AE208" s="57">
        <v>0</v>
      </c>
      <c r="AF208" s="61">
        <f t="shared" si="210"/>
        <v>22</v>
      </c>
      <c r="AG208" s="40">
        <f t="shared" si="223"/>
        <v>0</v>
      </c>
      <c r="AH208" s="40">
        <f t="shared" si="224"/>
        <v>0</v>
      </c>
      <c r="AI208" s="44">
        <f t="shared" si="225"/>
        <v>4289.2752912232581</v>
      </c>
      <c r="AJ208" s="35">
        <f t="shared" si="211"/>
        <v>22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210.94116377629229</v>
      </c>
      <c r="AL208" s="57">
        <v>0</v>
      </c>
      <c r="AM208" s="57">
        <v>0</v>
      </c>
      <c r="AN208" s="61">
        <f t="shared" si="212"/>
        <v>22</v>
      </c>
      <c r="AO208" s="40">
        <f t="shared" si="226"/>
        <v>0</v>
      </c>
      <c r="AP208" s="40">
        <f t="shared" si="227"/>
        <v>0</v>
      </c>
      <c r="AQ208" s="44">
        <f t="shared" si="228"/>
        <v>4640.7056030784306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549</v>
      </c>
      <c r="G209" s="35">
        <f>SUMIFS(WORKING!$AC$3:$AC$6802,WORKING!$A$3:$A$6802,Results!$D$3,WORKING!$B$3:$B$6802,Results!A209,WORKING!$C$3:$C$6802,Results!C209)/1000</f>
        <v>130746.01826</v>
      </c>
      <c r="H209" s="35">
        <f t="shared" si="213"/>
        <v>238.15303872495446</v>
      </c>
      <c r="I209" s="187">
        <v>551</v>
      </c>
      <c r="J209" s="212">
        <v>133550</v>
      </c>
      <c r="K209" s="217">
        <f t="shared" si="214"/>
        <v>242.37749546279491</v>
      </c>
      <c r="L209" s="34">
        <f t="shared" si="207"/>
        <v>551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263.58293630719891</v>
      </c>
      <c r="N209" s="57">
        <v>27</v>
      </c>
      <c r="O209" s="57">
        <v>0</v>
      </c>
      <c r="P209" s="61">
        <f t="shared" si="208"/>
        <v>578</v>
      </c>
      <c r="Q209" s="40">
        <f t="shared" si="215"/>
        <v>7116.7392802943705</v>
      </c>
      <c r="R209" s="40">
        <f t="shared" si="216"/>
        <v>0</v>
      </c>
      <c r="S209" s="44">
        <f t="shared" si="217"/>
        <v>152350.93718556096</v>
      </c>
      <c r="T209" s="35">
        <f t="shared" si="218"/>
        <v>578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285.91371418818255</v>
      </c>
      <c r="V209" s="57">
        <v>0</v>
      </c>
      <c r="W209" s="57">
        <v>0</v>
      </c>
      <c r="X209" s="61">
        <f t="shared" si="209"/>
        <v>578</v>
      </c>
      <c r="Y209" s="40">
        <f t="shared" si="219"/>
        <v>0</v>
      </c>
      <c r="Z209" s="40">
        <f t="shared" si="220"/>
        <v>0</v>
      </c>
      <c r="AA209" s="44">
        <f t="shared" si="221"/>
        <v>165258.1268007695</v>
      </c>
      <c r="AB209" s="35">
        <f t="shared" si="222"/>
        <v>578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309.84663947490952</v>
      </c>
      <c r="AD209" s="57">
        <v>0</v>
      </c>
      <c r="AE209" s="57">
        <v>0</v>
      </c>
      <c r="AF209" s="61">
        <f t="shared" si="210"/>
        <v>578</v>
      </c>
      <c r="AG209" s="40">
        <f t="shared" si="223"/>
        <v>0</v>
      </c>
      <c r="AH209" s="40">
        <f t="shared" si="224"/>
        <v>0</v>
      </c>
      <c r="AI209" s="44">
        <f t="shared" si="225"/>
        <v>179091.3576164977</v>
      </c>
      <c r="AJ209" s="35">
        <f t="shared" si="211"/>
        <v>578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335.15497321846817</v>
      </c>
      <c r="AL209" s="57">
        <v>0</v>
      </c>
      <c r="AM209" s="57">
        <v>0</v>
      </c>
      <c r="AN209" s="61">
        <f t="shared" si="212"/>
        <v>578</v>
      </c>
      <c r="AO209" s="40">
        <f t="shared" si="226"/>
        <v>0</v>
      </c>
      <c r="AP209" s="40">
        <f t="shared" si="227"/>
        <v>0</v>
      </c>
      <c r="AQ209" s="44">
        <f t="shared" si="228"/>
        <v>193719.57452027459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49</v>
      </c>
      <c r="G210" s="35">
        <f>SUMIFS(WORKING!$AC$3:$AC$6802,WORKING!$A$3:$A$6802,Results!$D$3,WORKING!$B$3:$B$6802,Results!A210,WORKING!$C$3:$C$6802,Results!C210)/1000</f>
        <v>13976.520770000001</v>
      </c>
      <c r="H210" s="35">
        <f t="shared" si="213"/>
        <v>285.23511775510207</v>
      </c>
      <c r="I210" s="187">
        <v>48</v>
      </c>
      <c r="J210" s="212">
        <v>14215</v>
      </c>
      <c r="K210" s="217">
        <f t="shared" si="214"/>
        <v>296.14583333333331</v>
      </c>
      <c r="L210" s="34">
        <f t="shared" si="207"/>
        <v>48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322.25053273353723</v>
      </c>
      <c r="N210" s="57">
        <v>2</v>
      </c>
      <c r="O210" s="57">
        <v>0</v>
      </c>
      <c r="P210" s="61">
        <f t="shared" si="208"/>
        <v>50</v>
      </c>
      <c r="Q210" s="40">
        <f t="shared" si="215"/>
        <v>644.50106546707445</v>
      </c>
      <c r="R210" s="40">
        <f t="shared" si="216"/>
        <v>0</v>
      </c>
      <c r="S210" s="44">
        <f t="shared" si="217"/>
        <v>16112.526636676861</v>
      </c>
      <c r="T210" s="35">
        <f t="shared" si="218"/>
        <v>50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349.61334147465845</v>
      </c>
      <c r="V210" s="57">
        <v>0</v>
      </c>
      <c r="W210" s="57">
        <v>0</v>
      </c>
      <c r="X210" s="61">
        <f t="shared" si="209"/>
        <v>50</v>
      </c>
      <c r="Y210" s="40">
        <f t="shared" si="219"/>
        <v>0</v>
      </c>
      <c r="Z210" s="40">
        <f t="shared" si="220"/>
        <v>0</v>
      </c>
      <c r="AA210" s="44">
        <f t="shared" si="221"/>
        <v>17480.667073732922</v>
      </c>
      <c r="AB210" s="35">
        <f t="shared" si="222"/>
        <v>50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378.94517489087929</v>
      </c>
      <c r="AD210" s="57">
        <v>0</v>
      </c>
      <c r="AE210" s="57">
        <v>0</v>
      </c>
      <c r="AF210" s="61">
        <f t="shared" si="210"/>
        <v>50</v>
      </c>
      <c r="AG210" s="40">
        <f t="shared" si="223"/>
        <v>0</v>
      </c>
      <c r="AH210" s="40">
        <f t="shared" si="224"/>
        <v>0</v>
      </c>
      <c r="AI210" s="44">
        <f t="shared" si="225"/>
        <v>18947.258744543964</v>
      </c>
      <c r="AJ210" s="35">
        <f t="shared" si="211"/>
        <v>50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409.96963171839667</v>
      </c>
      <c r="AL210" s="57">
        <v>0</v>
      </c>
      <c r="AM210" s="57">
        <v>0</v>
      </c>
      <c r="AN210" s="61">
        <f t="shared" si="212"/>
        <v>50</v>
      </c>
      <c r="AO210" s="40">
        <f t="shared" si="226"/>
        <v>0</v>
      </c>
      <c r="AP210" s="40">
        <f t="shared" si="227"/>
        <v>0</v>
      </c>
      <c r="AQ210" s="44">
        <f t="shared" si="228"/>
        <v>20498.481585919835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50</v>
      </c>
      <c r="G211" s="35">
        <f>SUMIFS(WORKING!$AC$3:$AC$6802,WORKING!$A$3:$A$6802,Results!$D$3,WORKING!$B$3:$B$6802,Results!A211,WORKING!$C$3:$C$6802,Results!C211)/1000</f>
        <v>16814.808270000001</v>
      </c>
      <c r="H211" s="35">
        <f t="shared" si="213"/>
        <v>336.29616540000001</v>
      </c>
      <c r="I211" s="187">
        <v>46</v>
      </c>
      <c r="J211" s="212">
        <v>16967</v>
      </c>
      <c r="K211" s="217">
        <f t="shared" si="214"/>
        <v>368.8478260869565</v>
      </c>
      <c r="L211" s="34">
        <f t="shared" si="207"/>
        <v>46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401.56874320504062</v>
      </c>
      <c r="N211" s="57">
        <v>2</v>
      </c>
      <c r="O211" s="57">
        <v>0</v>
      </c>
      <c r="P211" s="61">
        <f t="shared" si="208"/>
        <v>48</v>
      </c>
      <c r="Q211" s="40">
        <f t="shared" si="215"/>
        <v>803.13748641008124</v>
      </c>
      <c r="R211" s="40">
        <f t="shared" si="216"/>
        <v>0</v>
      </c>
      <c r="S211" s="44">
        <f t="shared" si="217"/>
        <v>19275.29967384195</v>
      </c>
      <c r="T211" s="35">
        <f t="shared" si="218"/>
        <v>48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435.73139192763449</v>
      </c>
      <c r="V211" s="57">
        <v>0</v>
      </c>
      <c r="W211" s="57">
        <v>0</v>
      </c>
      <c r="X211" s="61">
        <f t="shared" si="209"/>
        <v>48</v>
      </c>
      <c r="Y211" s="40">
        <f t="shared" si="219"/>
        <v>0</v>
      </c>
      <c r="Z211" s="40">
        <f t="shared" si="220"/>
        <v>0</v>
      </c>
      <c r="AA211" s="44">
        <f t="shared" si="221"/>
        <v>20915.106812526457</v>
      </c>
      <c r="AB211" s="35">
        <f t="shared" si="222"/>
        <v>48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472.35857475476507</v>
      </c>
      <c r="AD211" s="57">
        <v>0</v>
      </c>
      <c r="AE211" s="57">
        <v>0</v>
      </c>
      <c r="AF211" s="61">
        <f t="shared" si="210"/>
        <v>48</v>
      </c>
      <c r="AG211" s="40">
        <f t="shared" si="223"/>
        <v>0</v>
      </c>
      <c r="AH211" s="40">
        <f t="shared" si="224"/>
        <v>0</v>
      </c>
      <c r="AI211" s="44">
        <f t="shared" si="225"/>
        <v>22673.211588228725</v>
      </c>
      <c r="AJ211" s="35">
        <f t="shared" si="211"/>
        <v>48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511.10676487822354</v>
      </c>
      <c r="AL211" s="57">
        <v>0</v>
      </c>
      <c r="AM211" s="57">
        <v>0</v>
      </c>
      <c r="AN211" s="61">
        <f t="shared" si="212"/>
        <v>48</v>
      </c>
      <c r="AO211" s="40">
        <f t="shared" si="226"/>
        <v>0</v>
      </c>
      <c r="AP211" s="40">
        <f t="shared" si="227"/>
        <v>0</v>
      </c>
      <c r="AQ211" s="44">
        <f t="shared" si="228"/>
        <v>24533.124714154728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262</v>
      </c>
      <c r="G212" s="35">
        <f>SUMIFS(WORKING!$AC$3:$AC$6802,WORKING!$A$3:$A$6802,Results!$D$3,WORKING!$B$3:$B$6802,Results!A212,WORKING!$C$3:$C$6802,Results!C212)/1000</f>
        <v>109782.89941</v>
      </c>
      <c r="H212" s="35">
        <f t="shared" si="213"/>
        <v>419.01870003816794</v>
      </c>
      <c r="I212" s="187">
        <v>264</v>
      </c>
      <c r="J212" s="212">
        <v>111234</v>
      </c>
      <c r="K212" s="217">
        <f t="shared" si="214"/>
        <v>421.34090909090907</v>
      </c>
      <c r="L212" s="34">
        <f t="shared" si="207"/>
        <v>264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459.07082937120441</v>
      </c>
      <c r="N212" s="57">
        <v>25</v>
      </c>
      <c r="O212" s="57">
        <v>0</v>
      </c>
      <c r="P212" s="61">
        <f t="shared" si="208"/>
        <v>289</v>
      </c>
      <c r="Q212" s="40">
        <f t="shared" si="215"/>
        <v>11476.77073428011</v>
      </c>
      <c r="R212" s="40">
        <f t="shared" si="216"/>
        <v>0</v>
      </c>
      <c r="S212" s="44">
        <f t="shared" si="217"/>
        <v>132671.46968827807</v>
      </c>
      <c r="T212" s="35">
        <f t="shared" si="218"/>
        <v>289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498.23347136233087</v>
      </c>
      <c r="V212" s="57">
        <v>0</v>
      </c>
      <c r="W212" s="57">
        <v>0</v>
      </c>
      <c r="X212" s="61">
        <f t="shared" si="209"/>
        <v>289</v>
      </c>
      <c r="Y212" s="40">
        <f t="shared" si="219"/>
        <v>0</v>
      </c>
      <c r="Z212" s="40">
        <f t="shared" si="220"/>
        <v>0</v>
      </c>
      <c r="AA212" s="44">
        <f t="shared" si="221"/>
        <v>143989.47322371363</v>
      </c>
      <c r="AB212" s="35">
        <f t="shared" si="222"/>
        <v>289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540.23179658741867</v>
      </c>
      <c r="AD212" s="57">
        <v>0</v>
      </c>
      <c r="AE212" s="57">
        <v>0</v>
      </c>
      <c r="AF212" s="61">
        <f t="shared" si="210"/>
        <v>289</v>
      </c>
      <c r="AG212" s="40">
        <f t="shared" si="223"/>
        <v>0</v>
      </c>
      <c r="AH212" s="40">
        <f t="shared" si="224"/>
        <v>0</v>
      </c>
      <c r="AI212" s="44">
        <f t="shared" si="225"/>
        <v>156126.989213764</v>
      </c>
      <c r="AJ212" s="35">
        <f t="shared" si="211"/>
        <v>289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584.67472759215434</v>
      </c>
      <c r="AL212" s="57">
        <v>0</v>
      </c>
      <c r="AM212" s="57">
        <v>0</v>
      </c>
      <c r="AN212" s="61">
        <f t="shared" si="212"/>
        <v>289</v>
      </c>
      <c r="AO212" s="40">
        <f t="shared" si="226"/>
        <v>0</v>
      </c>
      <c r="AP212" s="40">
        <f t="shared" si="227"/>
        <v>0</v>
      </c>
      <c r="AQ212" s="44">
        <f t="shared" si="228"/>
        <v>168970.9962741326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3</v>
      </c>
      <c r="G213" s="35">
        <f>SUMIFS(WORKING!$AC$3:$AC$6802,WORKING!$A$3:$A$6802,Results!$D$3,WORKING!$B$3:$B$6802,Results!A213,WORKING!$C$3:$C$6802,Results!C213)/1000</f>
        <v>2060.10203</v>
      </c>
      <c r="H213" s="35">
        <f t="shared" si="213"/>
        <v>686.70067666666671</v>
      </c>
      <c r="I213" s="187">
        <v>3</v>
      </c>
      <c r="J213" s="212">
        <v>2072</v>
      </c>
      <c r="K213" s="217">
        <f t="shared" si="214"/>
        <v>690.66666666666663</v>
      </c>
      <c r="L213" s="34">
        <f t="shared" si="207"/>
        <v>3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752.93234500346182</v>
      </c>
      <c r="N213" s="57">
        <v>0</v>
      </c>
      <c r="O213" s="57">
        <v>0</v>
      </c>
      <c r="P213" s="61">
        <f t="shared" si="208"/>
        <v>3</v>
      </c>
      <c r="Q213" s="40">
        <f t="shared" si="215"/>
        <v>0</v>
      </c>
      <c r="R213" s="40">
        <f t="shared" si="216"/>
        <v>0</v>
      </c>
      <c r="S213" s="44">
        <f t="shared" si="217"/>
        <v>2258.7970350103856</v>
      </c>
      <c r="T213" s="35">
        <f t="shared" si="218"/>
        <v>3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817.29270403750525</v>
      </c>
      <c r="V213" s="57">
        <v>0</v>
      </c>
      <c r="W213" s="57">
        <v>0</v>
      </c>
      <c r="X213" s="61">
        <f t="shared" si="209"/>
        <v>3</v>
      </c>
      <c r="Y213" s="40">
        <f t="shared" si="219"/>
        <v>0</v>
      </c>
      <c r="Z213" s="40">
        <f t="shared" si="220"/>
        <v>0</v>
      </c>
      <c r="AA213" s="44">
        <f t="shared" si="221"/>
        <v>2451.8781121125157</v>
      </c>
      <c r="AB213" s="35">
        <f t="shared" si="222"/>
        <v>3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886.32571075200792</v>
      </c>
      <c r="AD213" s="57">
        <v>0</v>
      </c>
      <c r="AE213" s="57">
        <v>0</v>
      </c>
      <c r="AF213" s="61">
        <f t="shared" si="210"/>
        <v>3</v>
      </c>
      <c r="AG213" s="40">
        <f t="shared" si="223"/>
        <v>0</v>
      </c>
      <c r="AH213" s="40">
        <f t="shared" si="224"/>
        <v>0</v>
      </c>
      <c r="AI213" s="44">
        <f t="shared" si="225"/>
        <v>2658.9771322560237</v>
      </c>
      <c r="AJ213" s="35">
        <f t="shared" si="211"/>
        <v>3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959.39190318342753</v>
      </c>
      <c r="AL213" s="57">
        <v>0</v>
      </c>
      <c r="AM213" s="57">
        <v>0</v>
      </c>
      <c r="AN213" s="61">
        <f t="shared" si="212"/>
        <v>3</v>
      </c>
      <c r="AO213" s="40">
        <f t="shared" si="226"/>
        <v>0</v>
      </c>
      <c r="AP213" s="40">
        <f t="shared" si="227"/>
        <v>0</v>
      </c>
      <c r="AQ213" s="44">
        <f t="shared" si="228"/>
        <v>2878.1757095502826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40</v>
      </c>
      <c r="G214" s="35">
        <f>SUMIFS(WORKING!$AC$3:$AC$6802,WORKING!$A$3:$A$6802,Results!$D$3,WORKING!$B$3:$B$6802,Results!A214,WORKING!$C$3:$C$6802,Results!C214)/1000</f>
        <v>23792.608179999988</v>
      </c>
      <c r="H214" s="35">
        <f t="shared" si="213"/>
        <v>594.81520449999971</v>
      </c>
      <c r="I214" s="187">
        <v>40</v>
      </c>
      <c r="J214" s="212">
        <v>23795</v>
      </c>
      <c r="K214" s="217">
        <f t="shared" si="214"/>
        <v>594.875</v>
      </c>
      <c r="L214" s="34">
        <f t="shared" si="207"/>
        <v>40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649.36906211356472</v>
      </c>
      <c r="N214" s="57">
        <v>11</v>
      </c>
      <c r="O214" s="57">
        <v>0</v>
      </c>
      <c r="P214" s="61">
        <f t="shared" si="208"/>
        <v>51</v>
      </c>
      <c r="Q214" s="40">
        <f t="shared" si="215"/>
        <v>7143.059683249212</v>
      </c>
      <c r="R214" s="40">
        <f t="shared" si="216"/>
        <v>0</v>
      </c>
      <c r="S214" s="44">
        <f t="shared" si="217"/>
        <v>33117.822167791805</v>
      </c>
      <c r="T214" s="35">
        <f t="shared" si="218"/>
        <v>51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704.90237842970703</v>
      </c>
      <c r="V214" s="57">
        <v>0</v>
      </c>
      <c r="W214" s="57">
        <v>0</v>
      </c>
      <c r="X214" s="61">
        <f t="shared" si="209"/>
        <v>51</v>
      </c>
      <c r="Y214" s="40">
        <f t="shared" si="219"/>
        <v>0</v>
      </c>
      <c r="Z214" s="40">
        <f t="shared" si="220"/>
        <v>0</v>
      </c>
      <c r="AA214" s="44">
        <f t="shared" si="221"/>
        <v>35950.021299915061</v>
      </c>
      <c r="AB214" s="35">
        <f t="shared" si="222"/>
        <v>51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764.46971586066832</v>
      </c>
      <c r="AD214" s="57">
        <v>0</v>
      </c>
      <c r="AE214" s="57">
        <v>0</v>
      </c>
      <c r="AF214" s="61">
        <f t="shared" si="210"/>
        <v>51</v>
      </c>
      <c r="AG214" s="40">
        <f t="shared" si="223"/>
        <v>0</v>
      </c>
      <c r="AH214" s="40">
        <f t="shared" si="224"/>
        <v>0</v>
      </c>
      <c r="AI214" s="44">
        <f t="shared" si="225"/>
        <v>38987.955508894083</v>
      </c>
      <c r="AJ214" s="35">
        <f t="shared" si="211"/>
        <v>51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827.51963952260144</v>
      </c>
      <c r="AL214" s="57">
        <v>0</v>
      </c>
      <c r="AM214" s="57">
        <v>0</v>
      </c>
      <c r="AN214" s="61">
        <f t="shared" si="212"/>
        <v>51</v>
      </c>
      <c r="AO214" s="40">
        <f t="shared" si="226"/>
        <v>0</v>
      </c>
      <c r="AP214" s="40">
        <f t="shared" si="227"/>
        <v>0</v>
      </c>
      <c r="AQ214" s="44">
        <f t="shared" si="228"/>
        <v>42203.501615652676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101</v>
      </c>
      <c r="G215" s="35">
        <f>SUMIFS(WORKING!$AC$3:$AC$6802,WORKING!$A$3:$A$6802,Results!$D$3,WORKING!$B$3:$B$6802,Results!A215,WORKING!$C$3:$C$6802,Results!C215)/1000</f>
        <v>75381.132150000005</v>
      </c>
      <c r="H215" s="35">
        <f t="shared" si="213"/>
        <v>746.34784306930703</v>
      </c>
      <c r="I215" s="187">
        <v>100</v>
      </c>
      <c r="J215" s="212">
        <v>75336</v>
      </c>
      <c r="K215" s="217">
        <f t="shared" si="214"/>
        <v>753.36</v>
      </c>
      <c r="L215" s="34">
        <f t="shared" si="207"/>
        <v>100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822.3819298080532</v>
      </c>
      <c r="N215" s="57">
        <v>9</v>
      </c>
      <c r="O215" s="57">
        <v>0</v>
      </c>
      <c r="P215" s="61">
        <f t="shared" si="208"/>
        <v>109</v>
      </c>
      <c r="Q215" s="40">
        <f t="shared" si="215"/>
        <v>7401.437368272479</v>
      </c>
      <c r="R215" s="40">
        <f t="shared" si="216"/>
        <v>0</v>
      </c>
      <c r="S215" s="44">
        <f t="shared" si="217"/>
        <v>89639.630349077794</v>
      </c>
      <c r="T215" s="35">
        <f t="shared" si="218"/>
        <v>109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892.72164935050705</v>
      </c>
      <c r="V215" s="57">
        <v>0</v>
      </c>
      <c r="W215" s="57">
        <v>0</v>
      </c>
      <c r="X215" s="61">
        <f t="shared" si="209"/>
        <v>109</v>
      </c>
      <c r="Y215" s="40">
        <f t="shared" si="219"/>
        <v>0</v>
      </c>
      <c r="Z215" s="40">
        <f t="shared" si="220"/>
        <v>0</v>
      </c>
      <c r="AA215" s="44">
        <f t="shared" si="221"/>
        <v>97306.659779205263</v>
      </c>
      <c r="AB215" s="35">
        <f t="shared" si="222"/>
        <v>109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968.17196421706672</v>
      </c>
      <c r="AD215" s="57">
        <v>0</v>
      </c>
      <c r="AE215" s="57">
        <v>0</v>
      </c>
      <c r="AF215" s="61">
        <f t="shared" si="210"/>
        <v>109</v>
      </c>
      <c r="AG215" s="40">
        <f t="shared" si="223"/>
        <v>0</v>
      </c>
      <c r="AH215" s="40">
        <f t="shared" si="224"/>
        <v>0</v>
      </c>
      <c r="AI215" s="44">
        <f t="shared" si="225"/>
        <v>105530.74409966027</v>
      </c>
      <c r="AJ215" s="35">
        <f t="shared" si="211"/>
        <v>109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1048.0346756768215</v>
      </c>
      <c r="AL215" s="57">
        <v>0</v>
      </c>
      <c r="AM215" s="57">
        <v>0</v>
      </c>
      <c r="AN215" s="61">
        <f t="shared" si="212"/>
        <v>109</v>
      </c>
      <c r="AO215" s="40">
        <f t="shared" si="226"/>
        <v>0</v>
      </c>
      <c r="AP215" s="40">
        <f t="shared" si="227"/>
        <v>0</v>
      </c>
      <c r="AQ215" s="44">
        <f t="shared" si="228"/>
        <v>114235.77964877355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32</v>
      </c>
      <c r="G216" s="35">
        <f>SUMIFS(WORKING!$AC$3:$AC$6802,WORKING!$A$3:$A$6802,Results!$D$3,WORKING!$B$3:$B$6802,Results!A216,WORKING!$C$3:$C$6802,Results!C216)/1000</f>
        <v>29666.123159999996</v>
      </c>
      <c r="H216" s="35">
        <f t="shared" si="213"/>
        <v>927.06634874999986</v>
      </c>
      <c r="I216" s="187">
        <v>33</v>
      </c>
      <c r="J216" s="212">
        <v>29653</v>
      </c>
      <c r="K216" s="217">
        <f t="shared" si="214"/>
        <v>898.57575757575762</v>
      </c>
      <c r="L216" s="34">
        <f t="shared" si="207"/>
        <v>33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941.28108284891766</v>
      </c>
      <c r="N216" s="57">
        <v>2</v>
      </c>
      <c r="O216" s="57">
        <v>0</v>
      </c>
      <c r="P216" s="61">
        <f t="shared" si="208"/>
        <v>35</v>
      </c>
      <c r="Q216" s="40">
        <f t="shared" si="215"/>
        <v>1882.5621656978353</v>
      </c>
      <c r="R216" s="40">
        <f t="shared" si="216"/>
        <v>0</v>
      </c>
      <c r="S216" s="44">
        <f t="shared" si="217"/>
        <v>32944.837899712118</v>
      </c>
      <c r="T216" s="35">
        <f t="shared" si="218"/>
        <v>35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1011.7879605430501</v>
      </c>
      <c r="V216" s="57">
        <v>0</v>
      </c>
      <c r="W216" s="57">
        <v>0</v>
      </c>
      <c r="X216" s="61">
        <f t="shared" si="209"/>
        <v>35</v>
      </c>
      <c r="Y216" s="40">
        <f t="shared" si="219"/>
        <v>0</v>
      </c>
      <c r="Z216" s="40">
        <f t="shared" si="220"/>
        <v>0</v>
      </c>
      <c r="AA216" s="44">
        <f t="shared" si="221"/>
        <v>35412.578619006752</v>
      </c>
      <c r="AB216" s="35">
        <f t="shared" si="222"/>
        <v>35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1086.5501569970913</v>
      </c>
      <c r="AD216" s="57">
        <v>0</v>
      </c>
      <c r="AE216" s="57">
        <v>0</v>
      </c>
      <c r="AF216" s="61">
        <f t="shared" si="210"/>
        <v>35</v>
      </c>
      <c r="AG216" s="40">
        <f t="shared" si="223"/>
        <v>0</v>
      </c>
      <c r="AH216" s="40">
        <f t="shared" si="224"/>
        <v>0</v>
      </c>
      <c r="AI216" s="44">
        <f t="shared" si="225"/>
        <v>38029.2554948982</v>
      </c>
      <c r="AJ216" s="35">
        <f t="shared" si="211"/>
        <v>35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1164.6329621881848</v>
      </c>
      <c r="AL216" s="57">
        <v>0</v>
      </c>
      <c r="AM216" s="57">
        <v>0</v>
      </c>
      <c r="AN216" s="61">
        <f t="shared" si="212"/>
        <v>35</v>
      </c>
      <c r="AO216" s="40">
        <f t="shared" si="226"/>
        <v>0</v>
      </c>
      <c r="AP216" s="40">
        <f t="shared" si="227"/>
        <v>0</v>
      </c>
      <c r="AQ216" s="44">
        <f t="shared" si="228"/>
        <v>40762.153676586466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13</v>
      </c>
      <c r="G217" s="35">
        <f>SUMIFS(WORKING!$AC$3:$AC$6802,WORKING!$A$3:$A$6802,Results!$D$3,WORKING!$B$3:$B$6802,Results!A217,WORKING!$C$3:$C$6802,Results!C217)/1000</f>
        <v>14590.625639999998</v>
      </c>
      <c r="H217" s="35">
        <f t="shared" si="213"/>
        <v>1122.3558184615383</v>
      </c>
      <c r="I217" s="187">
        <v>11</v>
      </c>
      <c r="J217" s="212">
        <v>14567</v>
      </c>
      <c r="K217" s="217">
        <f t="shared" si="214"/>
        <v>1324.2727272727273</v>
      </c>
      <c r="L217" s="34">
        <f t="shared" si="207"/>
        <v>11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1387.3759915387116</v>
      </c>
      <c r="N217" s="57">
        <v>2</v>
      </c>
      <c r="O217" s="57">
        <v>0</v>
      </c>
      <c r="P217" s="61">
        <f t="shared" si="208"/>
        <v>13</v>
      </c>
      <c r="Q217" s="40">
        <f t="shared" si="215"/>
        <v>2774.7519830774231</v>
      </c>
      <c r="R217" s="40">
        <f t="shared" si="216"/>
        <v>0</v>
      </c>
      <c r="S217" s="44">
        <f t="shared" si="217"/>
        <v>18035.887890003251</v>
      </c>
      <c r="T217" s="35">
        <f t="shared" si="218"/>
        <v>13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1491.4766488093076</v>
      </c>
      <c r="V217" s="57">
        <v>0</v>
      </c>
      <c r="W217" s="57">
        <v>0</v>
      </c>
      <c r="X217" s="61">
        <f t="shared" si="209"/>
        <v>13</v>
      </c>
      <c r="Y217" s="40">
        <f t="shared" si="219"/>
        <v>0</v>
      </c>
      <c r="Z217" s="40">
        <f t="shared" si="220"/>
        <v>0</v>
      </c>
      <c r="AA217" s="44">
        <f t="shared" si="221"/>
        <v>19389.196434521</v>
      </c>
      <c r="AB217" s="35">
        <f t="shared" si="222"/>
        <v>13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1601.8757857600235</v>
      </c>
      <c r="AD217" s="57">
        <v>0</v>
      </c>
      <c r="AE217" s="57">
        <v>0</v>
      </c>
      <c r="AF217" s="61">
        <f t="shared" si="210"/>
        <v>13</v>
      </c>
      <c r="AG217" s="40">
        <f t="shared" si="223"/>
        <v>0</v>
      </c>
      <c r="AH217" s="40">
        <f t="shared" si="224"/>
        <v>0</v>
      </c>
      <c r="AI217" s="44">
        <f t="shared" si="225"/>
        <v>20824.385214880305</v>
      </c>
      <c r="AJ217" s="35">
        <f t="shared" si="211"/>
        <v>13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1717.1974783825706</v>
      </c>
      <c r="AL217" s="57">
        <v>0</v>
      </c>
      <c r="AM217" s="57">
        <v>0</v>
      </c>
      <c r="AN217" s="61">
        <f t="shared" si="212"/>
        <v>13</v>
      </c>
      <c r="AO217" s="40">
        <f t="shared" si="226"/>
        <v>0</v>
      </c>
      <c r="AP217" s="40">
        <f t="shared" si="227"/>
        <v>0</v>
      </c>
      <c r="AQ217" s="44">
        <f t="shared" si="228"/>
        <v>22323.567218973418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1</v>
      </c>
      <c r="G218" s="35">
        <f>SUMIFS(WORKING!$AC$3:$AC$6802,WORKING!$A$3:$A$6802,Results!$D$3,WORKING!$B$3:$B$6802,Results!A218,WORKING!$C$3:$C$6802,Results!C218)/1000</f>
        <v>1438.1415799999995</v>
      </c>
      <c r="H218" s="35">
        <f t="shared" si="213"/>
        <v>1438.1415799999995</v>
      </c>
      <c r="I218" s="187">
        <v>1</v>
      </c>
      <c r="J218" s="212">
        <v>1438</v>
      </c>
      <c r="K218" s="217">
        <f t="shared" si="214"/>
        <v>1438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1507.3610234698533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1507.3610234698533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1621.3665925573252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1621.3665925573252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1742.3494163759253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1742.3494163759253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1868.8236234057842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1868.8236234057842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>
        <v>0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>
        <v>0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1280</v>
      </c>
      <c r="G224" s="41">
        <f>SUM(G204:G223)</f>
        <v>442631.31332000002</v>
      </c>
      <c r="H224" s="41">
        <f>IFERROR(G224/F224,0)</f>
        <v>345.80571353125003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1266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447690</v>
      </c>
      <c r="K224" s="41">
        <f>IFERROR(J224/I224,"")</f>
        <v>353.62559241706163</v>
      </c>
      <c r="L224" s="41">
        <f>SUM(L204:L223)</f>
        <v>1266</v>
      </c>
      <c r="M224" s="41">
        <f>IFERROR(S224/P224,0)</f>
        <v>387.14880252897325</v>
      </c>
      <c r="N224" s="41">
        <f t="shared" ref="N224:T224" si="230">SUM(N204:N223)</f>
        <v>86</v>
      </c>
      <c r="O224" s="41">
        <f t="shared" si="230"/>
        <v>0</v>
      </c>
      <c r="P224" s="41">
        <f t="shared" si="230"/>
        <v>1352</v>
      </c>
      <c r="Q224" s="41">
        <f t="shared" si="230"/>
        <v>40194.045378683681</v>
      </c>
      <c r="R224" s="41">
        <f t="shared" si="230"/>
        <v>0</v>
      </c>
      <c r="S224" s="45">
        <f t="shared" si="230"/>
        <v>523425.18101917184</v>
      </c>
      <c r="T224" s="41">
        <f t="shared" si="230"/>
        <v>1352</v>
      </c>
      <c r="U224" s="41">
        <f>IFERROR(AA224/X224,0)</f>
        <v>419.69397543743867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1352</v>
      </c>
      <c r="Y224" s="41">
        <f t="shared" si="231"/>
        <v>0</v>
      </c>
      <c r="Z224" s="41">
        <f t="shared" si="231"/>
        <v>0</v>
      </c>
      <c r="AA224" s="45">
        <f t="shared" si="231"/>
        <v>567426.25479141704</v>
      </c>
      <c r="AB224" s="41">
        <f t="shared" si="231"/>
        <v>1352</v>
      </c>
      <c r="AC224" s="41">
        <f>IFERROR(AI224/AF224,0)</f>
        <v>454.55314619918641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1352</v>
      </c>
      <c r="AG224" s="41">
        <f t="shared" si="232"/>
        <v>0</v>
      </c>
      <c r="AH224" s="41">
        <f t="shared" si="232"/>
        <v>0</v>
      </c>
      <c r="AI224" s="45">
        <f t="shared" si="232"/>
        <v>614555.85366130003</v>
      </c>
      <c r="AJ224" s="41">
        <f t="shared" si="232"/>
        <v>1352</v>
      </c>
      <c r="AK224" s="41">
        <f>IFERROR(AQ224/AN224,0)</f>
        <v>491.38987957723339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1352</v>
      </c>
      <c r="AO224" s="41">
        <f t="shared" si="233"/>
        <v>0</v>
      </c>
      <c r="AP224" s="41">
        <f t="shared" si="233"/>
        <v>0</v>
      </c>
      <c r="AQ224" s="45">
        <f t="shared" si="233"/>
        <v>664359.11718841956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466075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473395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490560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527842.56000000006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-57350.18101917184</v>
      </c>
      <c r="T226" s="39"/>
      <c r="U226" s="39"/>
      <c r="V226" s="53"/>
      <c r="W226" s="53"/>
      <c r="X226" s="110"/>
      <c r="Y226" s="39"/>
      <c r="Z226" s="39"/>
      <c r="AA226" s="54">
        <f>AA225-AA224</f>
        <v>-94031.254791417043</v>
      </c>
      <c r="AB226" s="39"/>
      <c r="AC226" s="53"/>
      <c r="AD226" s="53"/>
      <c r="AE226" s="110"/>
      <c r="AF226" s="39"/>
      <c r="AG226" s="39"/>
      <c r="AH226" s="39"/>
      <c r="AI226" s="54">
        <f>AI225-AI224</f>
        <v>-123995.85366130003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-136516.55718841951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Survey Operations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876</v>
      </c>
      <c r="G232" s="35">
        <f>SUMIFS(WORKING!$AC$3:$AC$6802,WORKING!$A$3:$A$6802,Results!$D$3,WORKING!$B$3:$B$6802,Results!A232,WORKING!$C$3:$C$6802,Results!C232)/1000</f>
        <v>20508.630510000003</v>
      </c>
      <c r="H232" s="35">
        <f>IFERROR(G232/F232,0)</f>
        <v>23.411678664383565</v>
      </c>
      <c r="I232" s="156">
        <v>0</v>
      </c>
      <c r="J232" s="211">
        <v>0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25.568576590847265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27.768476594325438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30.12946952164204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32.630041804300298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1</v>
      </c>
      <c r="G233" s="35">
        <f>SUMIFS(WORKING!$AC$3:$AC$6802,WORKING!$A$3:$A$6802,Results!$D$3,WORKING!$B$3:$B$6802,Results!A233,WORKING!$C$3:$C$6802,Results!C233)/1000</f>
        <v>97.090420000000009</v>
      </c>
      <c r="H233" s="35">
        <f t="shared" ref="H233:H251" si="240">IFERROR(G233/F233,0)</f>
        <v>97.090420000000009</v>
      </c>
      <c r="I233" s="187">
        <v>1</v>
      </c>
      <c r="J233" s="212">
        <v>97</v>
      </c>
      <c r="K233" s="217">
        <f t="shared" ref="K233:K251" si="241">IFERROR(IF(J233="",G233,J233)/IF(I233="",F233,I233),"")</f>
        <v>97</v>
      </c>
      <c r="L233" s="34">
        <f t="shared" si="234"/>
        <v>1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105.9364518971779</v>
      </c>
      <c r="N233" s="57">
        <v>0</v>
      </c>
      <c r="O233" s="57">
        <v>0</v>
      </c>
      <c r="P233" s="61">
        <f t="shared" si="235"/>
        <v>1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105.9364518971779</v>
      </c>
      <c r="T233" s="35">
        <f t="shared" ref="T233:T251" si="245">P233</f>
        <v>1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115.05105841990672</v>
      </c>
      <c r="V233" s="57">
        <v>0</v>
      </c>
      <c r="W233" s="57">
        <v>0</v>
      </c>
      <c r="X233" s="61">
        <f t="shared" si="236"/>
        <v>1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115.05105841990672</v>
      </c>
      <c r="AB233" s="35">
        <f t="shared" ref="AB233:AB251" si="249">X233</f>
        <v>1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124.83309584203832</v>
      </c>
      <c r="AD233" s="57">
        <v>0</v>
      </c>
      <c r="AE233" s="57">
        <v>0</v>
      </c>
      <c r="AF233" s="61">
        <f t="shared" si="237"/>
        <v>1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124.83309584203832</v>
      </c>
      <c r="AJ233" s="35">
        <f t="shared" si="238"/>
        <v>1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135.19342730604535</v>
      </c>
      <c r="AL233" s="57">
        <v>0</v>
      </c>
      <c r="AM233" s="57">
        <v>0</v>
      </c>
      <c r="AN233" s="61">
        <f t="shared" si="239"/>
        <v>1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135.19342730604535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>
        <v>0</v>
      </c>
      <c r="J234" s="212">
        <v>0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15</v>
      </c>
      <c r="G235" s="35">
        <f>SUMIFS(WORKING!$AC$3:$AC$6802,WORKING!$A$3:$A$6802,Results!$D$3,WORKING!$B$3:$B$6802,Results!A235,WORKING!$C$3:$C$6802,Results!C235)/1000</f>
        <v>1084.7308799999998</v>
      </c>
      <c r="H235" s="35">
        <f t="shared" si="240"/>
        <v>72.315391999999989</v>
      </c>
      <c r="I235" s="187">
        <v>11</v>
      </c>
      <c r="J235" s="212">
        <v>1084</v>
      </c>
      <c r="K235" s="217">
        <f t="shared" si="241"/>
        <v>98.545454545454547</v>
      </c>
      <c r="L235" s="34">
        <f t="shared" si="234"/>
        <v>11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107.0661541341512</v>
      </c>
      <c r="N235" s="57">
        <v>1</v>
      </c>
      <c r="O235" s="57">
        <v>0</v>
      </c>
      <c r="P235" s="61">
        <f t="shared" si="235"/>
        <v>12</v>
      </c>
      <c r="Q235" s="40">
        <f t="shared" si="242"/>
        <v>107.0661541341512</v>
      </c>
      <c r="R235" s="40">
        <f t="shared" si="243"/>
        <v>0</v>
      </c>
      <c r="S235" s="44">
        <f t="shared" si="244"/>
        <v>1284.7938496098145</v>
      </c>
      <c r="T235" s="35">
        <f t="shared" si="245"/>
        <v>12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116.10615862741663</v>
      </c>
      <c r="V235" s="57">
        <v>0</v>
      </c>
      <c r="W235" s="57">
        <v>0</v>
      </c>
      <c r="X235" s="61">
        <f t="shared" si="236"/>
        <v>12</v>
      </c>
      <c r="Y235" s="40">
        <f t="shared" si="246"/>
        <v>0</v>
      </c>
      <c r="Z235" s="40">
        <f t="shared" si="247"/>
        <v>0</v>
      </c>
      <c r="AA235" s="44">
        <f t="shared" si="248"/>
        <v>1393.2739035289997</v>
      </c>
      <c r="AB235" s="35">
        <f t="shared" si="249"/>
        <v>12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125.79179473406269</v>
      </c>
      <c r="AD235" s="57">
        <v>0</v>
      </c>
      <c r="AE235" s="57">
        <v>0</v>
      </c>
      <c r="AF235" s="61">
        <f t="shared" si="237"/>
        <v>12</v>
      </c>
      <c r="AG235" s="40">
        <f t="shared" si="250"/>
        <v>0</v>
      </c>
      <c r="AH235" s="40">
        <f t="shared" si="251"/>
        <v>0</v>
      </c>
      <c r="AI235" s="44">
        <f t="shared" si="252"/>
        <v>1509.5015368087522</v>
      </c>
      <c r="AJ235" s="35">
        <f t="shared" si="238"/>
        <v>12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136.03048169076516</v>
      </c>
      <c r="AL235" s="57">
        <v>0</v>
      </c>
      <c r="AM235" s="57">
        <v>0</v>
      </c>
      <c r="AN235" s="61">
        <f t="shared" si="239"/>
        <v>12</v>
      </c>
      <c r="AO235" s="40">
        <f t="shared" si="253"/>
        <v>0</v>
      </c>
      <c r="AP235" s="40">
        <f t="shared" si="254"/>
        <v>0</v>
      </c>
      <c r="AQ235" s="44">
        <f t="shared" si="255"/>
        <v>1632.3657802891819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4</v>
      </c>
      <c r="G236" s="35">
        <f>SUMIFS(WORKING!$AC$3:$AC$6802,WORKING!$A$3:$A$6802,Results!$D$3,WORKING!$B$3:$B$6802,Results!A236,WORKING!$C$3:$C$6802,Results!C236)/1000</f>
        <v>761.92862999999988</v>
      </c>
      <c r="H236" s="35">
        <f t="shared" si="240"/>
        <v>190.48215749999997</v>
      </c>
      <c r="I236" s="187">
        <v>6</v>
      </c>
      <c r="J236" s="212">
        <v>774</v>
      </c>
      <c r="K236" s="217">
        <f t="shared" si="241"/>
        <v>129</v>
      </c>
      <c r="L236" s="34">
        <f t="shared" si="234"/>
        <v>6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140.01432983912375</v>
      </c>
      <c r="N236" s="57">
        <v>0</v>
      </c>
      <c r="O236" s="57">
        <v>0</v>
      </c>
      <c r="P236" s="61">
        <f t="shared" si="235"/>
        <v>6</v>
      </c>
      <c r="Q236" s="40">
        <f t="shared" si="242"/>
        <v>0</v>
      </c>
      <c r="R236" s="40">
        <f t="shared" si="243"/>
        <v>0</v>
      </c>
      <c r="S236" s="44">
        <f t="shared" si="244"/>
        <v>840.08597903474242</v>
      </c>
      <c r="T236" s="35">
        <f t="shared" si="245"/>
        <v>6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151.79261230169618</v>
      </c>
      <c r="V236" s="57">
        <v>0</v>
      </c>
      <c r="W236" s="57">
        <v>0</v>
      </c>
      <c r="X236" s="61">
        <f t="shared" si="236"/>
        <v>6</v>
      </c>
      <c r="Y236" s="40">
        <f t="shared" si="246"/>
        <v>0</v>
      </c>
      <c r="Z236" s="40">
        <f t="shared" si="247"/>
        <v>0</v>
      </c>
      <c r="AA236" s="44">
        <f t="shared" si="248"/>
        <v>910.75567381017709</v>
      </c>
      <c r="AB236" s="35">
        <f t="shared" si="249"/>
        <v>6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164.40797716818133</v>
      </c>
      <c r="AD236" s="57">
        <v>0</v>
      </c>
      <c r="AE236" s="57">
        <v>0</v>
      </c>
      <c r="AF236" s="61">
        <f t="shared" si="237"/>
        <v>6</v>
      </c>
      <c r="AG236" s="40">
        <f t="shared" si="250"/>
        <v>0</v>
      </c>
      <c r="AH236" s="40">
        <f t="shared" si="251"/>
        <v>0</v>
      </c>
      <c r="AI236" s="44">
        <f t="shared" si="252"/>
        <v>986.447863009088</v>
      </c>
      <c r="AJ236" s="35">
        <f t="shared" si="238"/>
        <v>6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177.73878230065236</v>
      </c>
      <c r="AL236" s="57">
        <v>0</v>
      </c>
      <c r="AM236" s="57">
        <v>0</v>
      </c>
      <c r="AN236" s="61">
        <f t="shared" si="239"/>
        <v>6</v>
      </c>
      <c r="AO236" s="40">
        <f t="shared" si="253"/>
        <v>0</v>
      </c>
      <c r="AP236" s="40">
        <f t="shared" si="254"/>
        <v>0</v>
      </c>
      <c r="AQ236" s="44">
        <f t="shared" si="255"/>
        <v>1066.4326938039142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163</v>
      </c>
      <c r="G237" s="35">
        <f>SUMIFS(WORKING!$AC$3:$AC$6802,WORKING!$A$3:$A$6802,Results!$D$3,WORKING!$B$3:$B$6802,Results!A237,WORKING!$C$3:$C$6802,Results!C237)/1000</f>
        <v>39419.913610000003</v>
      </c>
      <c r="H237" s="35">
        <f t="shared" si="240"/>
        <v>241.83996079754604</v>
      </c>
      <c r="I237" s="187">
        <v>162</v>
      </c>
      <c r="J237" s="212">
        <v>35702</v>
      </c>
      <c r="K237" s="217">
        <f t="shared" si="241"/>
        <v>220.38271604938271</v>
      </c>
      <c r="L237" s="34">
        <f t="shared" si="234"/>
        <v>162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239.67181457580881</v>
      </c>
      <c r="N237" s="57">
        <v>6</v>
      </c>
      <c r="O237" s="57">
        <v>0</v>
      </c>
      <c r="P237" s="61">
        <f t="shared" si="235"/>
        <v>168</v>
      </c>
      <c r="Q237" s="40">
        <f t="shared" si="242"/>
        <v>1438.0308874548527</v>
      </c>
      <c r="R237" s="40">
        <f t="shared" si="243"/>
        <v>0</v>
      </c>
      <c r="S237" s="44">
        <f t="shared" si="244"/>
        <v>40264.864848735881</v>
      </c>
      <c r="T237" s="35">
        <f t="shared" si="245"/>
        <v>168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259.97862728523512</v>
      </c>
      <c r="V237" s="57">
        <v>0</v>
      </c>
      <c r="W237" s="57">
        <v>0</v>
      </c>
      <c r="X237" s="61">
        <f t="shared" si="236"/>
        <v>168</v>
      </c>
      <c r="Y237" s="40">
        <f t="shared" si="246"/>
        <v>0</v>
      </c>
      <c r="Z237" s="40">
        <f t="shared" si="247"/>
        <v>0</v>
      </c>
      <c r="AA237" s="44">
        <f t="shared" si="248"/>
        <v>43676.409383919497</v>
      </c>
      <c r="AB237" s="35">
        <f t="shared" si="249"/>
        <v>168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281.74258021902358</v>
      </c>
      <c r="AD237" s="57">
        <v>0</v>
      </c>
      <c r="AE237" s="57">
        <v>0</v>
      </c>
      <c r="AF237" s="61">
        <f t="shared" si="237"/>
        <v>168</v>
      </c>
      <c r="AG237" s="40">
        <f t="shared" si="250"/>
        <v>0</v>
      </c>
      <c r="AH237" s="40">
        <f t="shared" si="251"/>
        <v>0</v>
      </c>
      <c r="AI237" s="44">
        <f t="shared" si="252"/>
        <v>47332.753476795959</v>
      </c>
      <c r="AJ237" s="35">
        <f t="shared" si="238"/>
        <v>168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304.75757364187035</v>
      </c>
      <c r="AL237" s="57">
        <v>0</v>
      </c>
      <c r="AM237" s="57">
        <v>0</v>
      </c>
      <c r="AN237" s="61">
        <f t="shared" si="239"/>
        <v>168</v>
      </c>
      <c r="AO237" s="40">
        <f t="shared" si="253"/>
        <v>0</v>
      </c>
      <c r="AP237" s="40">
        <f t="shared" si="254"/>
        <v>0</v>
      </c>
      <c r="AQ237" s="44">
        <f t="shared" si="255"/>
        <v>51199.272371834217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22</v>
      </c>
      <c r="G238" s="35">
        <f>SUMIFS(WORKING!$AC$3:$AC$6802,WORKING!$A$3:$A$6802,Results!$D$3,WORKING!$B$3:$B$6802,Results!A238,WORKING!$C$3:$C$6802,Results!C238)/1000</f>
        <v>5995.6481399999993</v>
      </c>
      <c r="H238" s="35">
        <f t="shared" si="240"/>
        <v>272.52946090909086</v>
      </c>
      <c r="I238" s="187">
        <v>20</v>
      </c>
      <c r="J238" s="212">
        <v>6098</v>
      </c>
      <c r="K238" s="217">
        <f t="shared" si="241"/>
        <v>304.89999999999998</v>
      </c>
      <c r="L238" s="34">
        <f t="shared" si="234"/>
        <v>20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331.70175906446622</v>
      </c>
      <c r="N238" s="57">
        <v>2</v>
      </c>
      <c r="O238" s="57">
        <v>0</v>
      </c>
      <c r="P238" s="61">
        <f t="shared" si="235"/>
        <v>22</v>
      </c>
      <c r="Q238" s="40">
        <f t="shared" si="242"/>
        <v>663.40351812893243</v>
      </c>
      <c r="R238" s="40">
        <f t="shared" si="243"/>
        <v>0</v>
      </c>
      <c r="S238" s="44">
        <f t="shared" si="244"/>
        <v>7297.4386994182569</v>
      </c>
      <c r="T238" s="35">
        <f t="shared" si="245"/>
        <v>22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359.84281906382478</v>
      </c>
      <c r="V238" s="57">
        <v>0</v>
      </c>
      <c r="W238" s="57">
        <v>0</v>
      </c>
      <c r="X238" s="61">
        <f t="shared" si="236"/>
        <v>22</v>
      </c>
      <c r="Y238" s="40">
        <f t="shared" si="246"/>
        <v>0</v>
      </c>
      <c r="Z238" s="40">
        <f t="shared" si="247"/>
        <v>0</v>
      </c>
      <c r="AA238" s="44">
        <f t="shared" si="248"/>
        <v>7916.5420194041453</v>
      </c>
      <c r="AB238" s="35">
        <f t="shared" si="249"/>
        <v>22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390.00664396199096</v>
      </c>
      <c r="AD238" s="57">
        <v>0</v>
      </c>
      <c r="AE238" s="57">
        <v>0</v>
      </c>
      <c r="AF238" s="61">
        <f t="shared" si="237"/>
        <v>22</v>
      </c>
      <c r="AG238" s="40">
        <f t="shared" si="250"/>
        <v>0</v>
      </c>
      <c r="AH238" s="40">
        <f t="shared" si="251"/>
        <v>0</v>
      </c>
      <c r="AI238" s="44">
        <f t="shared" si="252"/>
        <v>8580.1461671638008</v>
      </c>
      <c r="AJ238" s="35">
        <f t="shared" si="238"/>
        <v>22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421.90845563866418</v>
      </c>
      <c r="AL238" s="57">
        <v>0</v>
      </c>
      <c r="AM238" s="57">
        <v>0</v>
      </c>
      <c r="AN238" s="61">
        <f t="shared" si="239"/>
        <v>22</v>
      </c>
      <c r="AO238" s="40">
        <f t="shared" si="253"/>
        <v>0</v>
      </c>
      <c r="AP238" s="40">
        <f t="shared" si="254"/>
        <v>0</v>
      </c>
      <c r="AQ238" s="44">
        <f t="shared" si="255"/>
        <v>9281.9860240506114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32</v>
      </c>
      <c r="G239" s="35">
        <f>SUMIFS(WORKING!$AC$3:$AC$6802,WORKING!$A$3:$A$6802,Results!$D$3,WORKING!$B$3:$B$6802,Results!A239,WORKING!$C$3:$C$6802,Results!C239)/1000</f>
        <v>11230.84902</v>
      </c>
      <c r="H239" s="35">
        <f t="shared" si="240"/>
        <v>350.96403187499999</v>
      </c>
      <c r="I239" s="187">
        <v>32</v>
      </c>
      <c r="J239" s="212">
        <v>11358</v>
      </c>
      <c r="K239" s="217">
        <f t="shared" si="241"/>
        <v>354.9375</v>
      </c>
      <c r="L239" s="34">
        <f t="shared" si="234"/>
        <v>32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386.60504925695165</v>
      </c>
      <c r="N239" s="57">
        <v>1</v>
      </c>
      <c r="O239" s="57">
        <v>0</v>
      </c>
      <c r="P239" s="61">
        <f t="shared" si="235"/>
        <v>33</v>
      </c>
      <c r="Q239" s="40">
        <f t="shared" si="242"/>
        <v>386.60504925695165</v>
      </c>
      <c r="R239" s="40">
        <f t="shared" si="243"/>
        <v>0</v>
      </c>
      <c r="S239" s="44">
        <f t="shared" si="244"/>
        <v>12757.966625479405</v>
      </c>
      <c r="T239" s="35">
        <f t="shared" si="245"/>
        <v>33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419.55015486755678</v>
      </c>
      <c r="V239" s="57">
        <v>0</v>
      </c>
      <c r="W239" s="57">
        <v>0</v>
      </c>
      <c r="X239" s="61">
        <f t="shared" si="236"/>
        <v>33</v>
      </c>
      <c r="Y239" s="40">
        <f t="shared" si="246"/>
        <v>0</v>
      </c>
      <c r="Z239" s="40">
        <f t="shared" si="247"/>
        <v>0</v>
      </c>
      <c r="AA239" s="44">
        <f t="shared" si="248"/>
        <v>13845.155110629374</v>
      </c>
      <c r="AB239" s="35">
        <f t="shared" si="249"/>
        <v>33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454.87730478798773</v>
      </c>
      <c r="AD239" s="57">
        <v>0</v>
      </c>
      <c r="AE239" s="57">
        <v>0</v>
      </c>
      <c r="AF239" s="61">
        <f t="shared" si="237"/>
        <v>33</v>
      </c>
      <c r="AG239" s="40">
        <f t="shared" si="250"/>
        <v>0</v>
      </c>
      <c r="AH239" s="40">
        <f t="shared" si="251"/>
        <v>0</v>
      </c>
      <c r="AI239" s="44">
        <f t="shared" si="252"/>
        <v>15010.951058003595</v>
      </c>
      <c r="AJ239" s="35">
        <f t="shared" si="238"/>
        <v>33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492.25660379306981</v>
      </c>
      <c r="AL239" s="57">
        <v>0</v>
      </c>
      <c r="AM239" s="57">
        <v>0</v>
      </c>
      <c r="AN239" s="61">
        <f t="shared" si="239"/>
        <v>33</v>
      </c>
      <c r="AO239" s="40">
        <f t="shared" si="253"/>
        <v>0</v>
      </c>
      <c r="AP239" s="40">
        <f t="shared" si="254"/>
        <v>0</v>
      </c>
      <c r="AQ239" s="44">
        <f t="shared" si="255"/>
        <v>16244.467925171304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39</v>
      </c>
      <c r="G240" s="35">
        <f>SUMIFS(WORKING!$AC$3:$AC$6802,WORKING!$A$3:$A$6802,Results!$D$3,WORKING!$B$3:$B$6802,Results!A240,WORKING!$C$3:$C$6802,Results!C240)/1000</f>
        <v>16651.678769999999</v>
      </c>
      <c r="H240" s="35">
        <f t="shared" si="240"/>
        <v>426.96612230769227</v>
      </c>
      <c r="I240" s="187">
        <v>38</v>
      </c>
      <c r="J240" s="212">
        <v>16798</v>
      </c>
      <c r="K240" s="217">
        <f t="shared" si="241"/>
        <v>442.05263157894734</v>
      </c>
      <c r="L240" s="34">
        <f t="shared" si="234"/>
        <v>38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481.56287405784013</v>
      </c>
      <c r="N240" s="57">
        <v>5</v>
      </c>
      <c r="O240" s="57">
        <v>0</v>
      </c>
      <c r="P240" s="61">
        <f t="shared" si="235"/>
        <v>43</v>
      </c>
      <c r="Q240" s="40">
        <f t="shared" si="242"/>
        <v>2407.8143702892007</v>
      </c>
      <c r="R240" s="40">
        <f t="shared" si="243"/>
        <v>0</v>
      </c>
      <c r="S240" s="44">
        <f t="shared" si="244"/>
        <v>20707.203584487124</v>
      </c>
      <c r="T240" s="35">
        <f t="shared" si="245"/>
        <v>43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522.6219927398364</v>
      </c>
      <c r="V240" s="57">
        <v>0</v>
      </c>
      <c r="W240" s="57">
        <v>0</v>
      </c>
      <c r="X240" s="61">
        <f t="shared" si="236"/>
        <v>43</v>
      </c>
      <c r="Y240" s="40">
        <f t="shared" si="246"/>
        <v>0</v>
      </c>
      <c r="Z240" s="40">
        <f t="shared" si="247"/>
        <v>0</v>
      </c>
      <c r="AA240" s="44">
        <f t="shared" si="248"/>
        <v>22472.745687812967</v>
      </c>
      <c r="AB240" s="35">
        <f t="shared" si="249"/>
        <v>43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566.65193701544968</v>
      </c>
      <c r="AD240" s="57">
        <v>0</v>
      </c>
      <c r="AE240" s="57">
        <v>0</v>
      </c>
      <c r="AF240" s="61">
        <f t="shared" si="237"/>
        <v>43</v>
      </c>
      <c r="AG240" s="40">
        <f t="shared" si="250"/>
        <v>0</v>
      </c>
      <c r="AH240" s="40">
        <f t="shared" si="251"/>
        <v>0</v>
      </c>
      <c r="AI240" s="44">
        <f t="shared" si="252"/>
        <v>24366.033291664335</v>
      </c>
      <c r="AJ240" s="35">
        <f t="shared" si="238"/>
        <v>43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613.24209416280007</v>
      </c>
      <c r="AL240" s="57">
        <v>0</v>
      </c>
      <c r="AM240" s="57">
        <v>0</v>
      </c>
      <c r="AN240" s="61">
        <f t="shared" si="239"/>
        <v>43</v>
      </c>
      <c r="AO240" s="40">
        <f t="shared" si="253"/>
        <v>0</v>
      </c>
      <c r="AP240" s="40">
        <f t="shared" si="254"/>
        <v>0</v>
      </c>
      <c r="AQ240" s="44">
        <f t="shared" si="255"/>
        <v>26369.410049000402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4</v>
      </c>
      <c r="G241" s="35">
        <f>SUMIFS(WORKING!$AC$3:$AC$6802,WORKING!$A$3:$A$6802,Results!$D$3,WORKING!$B$3:$B$6802,Results!A241,WORKING!$C$3:$C$6802,Results!C241)/1000</f>
        <v>1956.36958</v>
      </c>
      <c r="H241" s="35">
        <f t="shared" si="240"/>
        <v>489.09239500000001</v>
      </c>
      <c r="I241" s="187">
        <v>3</v>
      </c>
      <c r="J241" s="212">
        <v>1956</v>
      </c>
      <c r="K241" s="217">
        <f t="shared" si="241"/>
        <v>652</v>
      </c>
      <c r="L241" s="34">
        <f t="shared" si="234"/>
        <v>3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710.77933681438719</v>
      </c>
      <c r="N241" s="57">
        <v>0</v>
      </c>
      <c r="O241" s="57">
        <v>0</v>
      </c>
      <c r="P241" s="61">
        <f t="shared" si="235"/>
        <v>3</v>
      </c>
      <c r="Q241" s="40">
        <f t="shared" si="242"/>
        <v>0</v>
      </c>
      <c r="R241" s="40">
        <f t="shared" si="243"/>
        <v>0</v>
      </c>
      <c r="S241" s="44">
        <f t="shared" si="244"/>
        <v>2132.3380104431617</v>
      </c>
      <c r="T241" s="35">
        <f t="shared" si="245"/>
        <v>3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771.54257345807309</v>
      </c>
      <c r="V241" s="57">
        <v>0</v>
      </c>
      <c r="W241" s="57">
        <v>0</v>
      </c>
      <c r="X241" s="61">
        <f t="shared" si="236"/>
        <v>3</v>
      </c>
      <c r="Y241" s="40">
        <f t="shared" si="246"/>
        <v>0</v>
      </c>
      <c r="Z241" s="40">
        <f t="shared" si="247"/>
        <v>0</v>
      </c>
      <c r="AA241" s="44">
        <f t="shared" si="248"/>
        <v>2314.6277203742193</v>
      </c>
      <c r="AB241" s="35">
        <f t="shared" si="249"/>
        <v>3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836.71755185136215</v>
      </c>
      <c r="AD241" s="57">
        <v>0</v>
      </c>
      <c r="AE241" s="57">
        <v>0</v>
      </c>
      <c r="AF241" s="61">
        <f t="shared" si="237"/>
        <v>3</v>
      </c>
      <c r="AG241" s="40">
        <f t="shared" si="250"/>
        <v>0</v>
      </c>
      <c r="AH241" s="40">
        <f t="shared" si="251"/>
        <v>0</v>
      </c>
      <c r="AI241" s="44">
        <f t="shared" si="252"/>
        <v>2510.1526555540863</v>
      </c>
      <c r="AJ241" s="35">
        <f t="shared" si="238"/>
        <v>3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905.70024954417931</v>
      </c>
      <c r="AL241" s="57">
        <v>0</v>
      </c>
      <c r="AM241" s="57">
        <v>0</v>
      </c>
      <c r="AN241" s="61">
        <f t="shared" si="239"/>
        <v>3</v>
      </c>
      <c r="AO241" s="40">
        <f t="shared" si="253"/>
        <v>0</v>
      </c>
      <c r="AP241" s="40">
        <f t="shared" si="254"/>
        <v>0</v>
      </c>
      <c r="AQ241" s="44">
        <f t="shared" si="255"/>
        <v>2717.1007486325379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26</v>
      </c>
      <c r="G242" s="35">
        <f>SUMIFS(WORKING!$AC$3:$AC$6802,WORKING!$A$3:$A$6802,Results!$D$3,WORKING!$B$3:$B$6802,Results!A242,WORKING!$C$3:$C$6802,Results!C242)/1000</f>
        <v>14668.905909999999</v>
      </c>
      <c r="H242" s="35">
        <f t="shared" si="240"/>
        <v>564.18868884615381</v>
      </c>
      <c r="I242" s="187">
        <v>28</v>
      </c>
      <c r="J242" s="212">
        <v>14572</v>
      </c>
      <c r="K242" s="217">
        <f t="shared" si="241"/>
        <v>520.42857142857144</v>
      </c>
      <c r="L242" s="34">
        <f t="shared" si="234"/>
        <v>28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568.10642176387273</v>
      </c>
      <c r="N242" s="57">
        <v>3</v>
      </c>
      <c r="O242" s="57">
        <v>0</v>
      </c>
      <c r="P242" s="61">
        <f t="shared" si="235"/>
        <v>31</v>
      </c>
      <c r="Q242" s="40">
        <f t="shared" si="242"/>
        <v>1704.3192652916182</v>
      </c>
      <c r="R242" s="40">
        <f t="shared" si="243"/>
        <v>0</v>
      </c>
      <c r="S242" s="44">
        <f t="shared" si="244"/>
        <v>17611.299074680053</v>
      </c>
      <c r="T242" s="35">
        <f t="shared" si="245"/>
        <v>31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616.69406962317112</v>
      </c>
      <c r="V242" s="57">
        <v>0</v>
      </c>
      <c r="W242" s="57">
        <v>0</v>
      </c>
      <c r="X242" s="61">
        <f t="shared" si="236"/>
        <v>31</v>
      </c>
      <c r="Y242" s="40">
        <f t="shared" si="246"/>
        <v>0</v>
      </c>
      <c r="Z242" s="40">
        <f t="shared" si="247"/>
        <v>0</v>
      </c>
      <c r="AA242" s="44">
        <f t="shared" si="248"/>
        <v>19117.516158318303</v>
      </c>
      <c r="AB242" s="35">
        <f t="shared" si="249"/>
        <v>31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668.81156342100542</v>
      </c>
      <c r="AD242" s="57">
        <v>0</v>
      </c>
      <c r="AE242" s="57">
        <v>0</v>
      </c>
      <c r="AF242" s="61">
        <f t="shared" si="237"/>
        <v>31</v>
      </c>
      <c r="AG242" s="40">
        <f t="shared" si="250"/>
        <v>0</v>
      </c>
      <c r="AH242" s="40">
        <f t="shared" si="251"/>
        <v>0</v>
      </c>
      <c r="AI242" s="44">
        <f t="shared" si="252"/>
        <v>20733.158466051169</v>
      </c>
      <c r="AJ242" s="35">
        <f t="shared" si="238"/>
        <v>31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723.97653199101455</v>
      </c>
      <c r="AL242" s="57">
        <v>0</v>
      </c>
      <c r="AM242" s="57">
        <v>0</v>
      </c>
      <c r="AN242" s="61">
        <f t="shared" si="239"/>
        <v>31</v>
      </c>
      <c r="AO242" s="40">
        <f t="shared" si="253"/>
        <v>0</v>
      </c>
      <c r="AP242" s="40">
        <f t="shared" si="254"/>
        <v>0</v>
      </c>
      <c r="AQ242" s="44">
        <f t="shared" si="255"/>
        <v>22443.272491721451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9</v>
      </c>
      <c r="G243" s="35">
        <f>SUMIFS(WORKING!$AC$3:$AC$6802,WORKING!$A$3:$A$6802,Results!$D$3,WORKING!$B$3:$B$6802,Results!A243,WORKING!$C$3:$C$6802,Results!C243)/1000</f>
        <v>7133.70057</v>
      </c>
      <c r="H243" s="35">
        <f t="shared" si="240"/>
        <v>792.63339666666661</v>
      </c>
      <c r="I243" s="187">
        <v>9</v>
      </c>
      <c r="J243" s="212">
        <v>7133</v>
      </c>
      <c r="K243" s="217">
        <f t="shared" si="241"/>
        <v>792.55555555555554</v>
      </c>
      <c r="L243" s="34">
        <f t="shared" si="234"/>
        <v>9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865.22656206514898</v>
      </c>
      <c r="N243" s="57">
        <v>1</v>
      </c>
      <c r="O243" s="57">
        <v>0</v>
      </c>
      <c r="P243" s="61">
        <f t="shared" si="235"/>
        <v>10</v>
      </c>
      <c r="Q243" s="40">
        <f t="shared" si="242"/>
        <v>865.22656206514898</v>
      </c>
      <c r="R243" s="40">
        <f t="shared" si="243"/>
        <v>0</v>
      </c>
      <c r="S243" s="44">
        <f t="shared" si="244"/>
        <v>8652.2656206514894</v>
      </c>
      <c r="T243" s="35">
        <f t="shared" si="245"/>
        <v>10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939.29385041365322</v>
      </c>
      <c r="V243" s="57">
        <v>0</v>
      </c>
      <c r="W243" s="57">
        <v>0</v>
      </c>
      <c r="X243" s="61">
        <f t="shared" si="236"/>
        <v>10</v>
      </c>
      <c r="Y243" s="40">
        <f t="shared" si="246"/>
        <v>0</v>
      </c>
      <c r="Z243" s="40">
        <f t="shared" si="247"/>
        <v>0</v>
      </c>
      <c r="AA243" s="44">
        <f t="shared" si="248"/>
        <v>9392.9385041365313</v>
      </c>
      <c r="AB243" s="35">
        <f t="shared" si="249"/>
        <v>10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1018.7486398636589</v>
      </c>
      <c r="AD243" s="57">
        <v>0</v>
      </c>
      <c r="AE243" s="57">
        <v>0</v>
      </c>
      <c r="AF243" s="61">
        <f t="shared" si="237"/>
        <v>10</v>
      </c>
      <c r="AG243" s="40">
        <f t="shared" si="250"/>
        <v>0</v>
      </c>
      <c r="AH243" s="40">
        <f t="shared" si="251"/>
        <v>0</v>
      </c>
      <c r="AI243" s="44">
        <f t="shared" si="252"/>
        <v>10187.486398636589</v>
      </c>
      <c r="AJ243" s="35">
        <f t="shared" si="238"/>
        <v>10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1102.8572919907476</v>
      </c>
      <c r="AL243" s="57">
        <v>0</v>
      </c>
      <c r="AM243" s="57">
        <v>0</v>
      </c>
      <c r="AN243" s="61">
        <f t="shared" si="239"/>
        <v>10</v>
      </c>
      <c r="AO243" s="40">
        <f t="shared" si="253"/>
        <v>0</v>
      </c>
      <c r="AP243" s="40">
        <f t="shared" si="254"/>
        <v>0</v>
      </c>
      <c r="AQ243" s="44">
        <f t="shared" si="255"/>
        <v>11028.572919907476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18</v>
      </c>
      <c r="G244" s="35">
        <f>SUMIFS(WORKING!$AC$3:$AC$6802,WORKING!$A$3:$A$6802,Results!$D$3,WORKING!$B$3:$B$6802,Results!A244,WORKING!$C$3:$C$6802,Results!C244)/1000</f>
        <v>17682.443579999999</v>
      </c>
      <c r="H244" s="35">
        <f t="shared" si="240"/>
        <v>982.35797666666667</v>
      </c>
      <c r="I244" s="187">
        <v>17</v>
      </c>
      <c r="J244" s="212">
        <v>17703</v>
      </c>
      <c r="K244" s="217">
        <f t="shared" si="241"/>
        <v>1041.3529411764705</v>
      </c>
      <c r="L244" s="34">
        <f t="shared" si="234"/>
        <v>17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1091.2947553734291</v>
      </c>
      <c r="N244" s="57">
        <v>3</v>
      </c>
      <c r="O244" s="57">
        <v>0</v>
      </c>
      <c r="P244" s="61">
        <f t="shared" si="235"/>
        <v>20</v>
      </c>
      <c r="Q244" s="40">
        <f t="shared" si="242"/>
        <v>3273.8842661202871</v>
      </c>
      <c r="R244" s="40">
        <f t="shared" si="243"/>
        <v>0</v>
      </c>
      <c r="S244" s="44">
        <f t="shared" si="244"/>
        <v>21825.895107468583</v>
      </c>
      <c r="T244" s="35">
        <f t="shared" si="245"/>
        <v>20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1173.5233406035586</v>
      </c>
      <c r="V244" s="57">
        <v>0</v>
      </c>
      <c r="W244" s="57">
        <v>0</v>
      </c>
      <c r="X244" s="61">
        <f t="shared" si="236"/>
        <v>20</v>
      </c>
      <c r="Y244" s="40">
        <f t="shared" si="246"/>
        <v>0</v>
      </c>
      <c r="Z244" s="40">
        <f t="shared" si="247"/>
        <v>0</v>
      </c>
      <c r="AA244" s="44">
        <f t="shared" si="248"/>
        <v>23470.466812071172</v>
      </c>
      <c r="AB244" s="35">
        <f t="shared" si="249"/>
        <v>20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1260.7572971652021</v>
      </c>
      <c r="AD244" s="57">
        <v>0</v>
      </c>
      <c r="AE244" s="57">
        <v>0</v>
      </c>
      <c r="AF244" s="61">
        <f t="shared" si="237"/>
        <v>20</v>
      </c>
      <c r="AG244" s="40">
        <f t="shared" si="250"/>
        <v>0</v>
      </c>
      <c r="AH244" s="40">
        <f t="shared" si="251"/>
        <v>0</v>
      </c>
      <c r="AI244" s="44">
        <f t="shared" si="252"/>
        <v>25215.145943304044</v>
      </c>
      <c r="AJ244" s="35">
        <f t="shared" si="238"/>
        <v>20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1351.9177693041411</v>
      </c>
      <c r="AL244" s="57">
        <v>0</v>
      </c>
      <c r="AM244" s="57">
        <v>0</v>
      </c>
      <c r="AN244" s="61">
        <f t="shared" si="239"/>
        <v>20</v>
      </c>
      <c r="AO244" s="40">
        <f t="shared" si="253"/>
        <v>0</v>
      </c>
      <c r="AP244" s="40">
        <f t="shared" si="254"/>
        <v>0</v>
      </c>
      <c r="AQ244" s="44">
        <f t="shared" si="255"/>
        <v>27038.355386082821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7</v>
      </c>
      <c r="G245" s="35">
        <f>SUMIFS(WORKING!$AC$3:$AC$6802,WORKING!$A$3:$A$6802,Results!$D$3,WORKING!$B$3:$B$6802,Results!A245,WORKING!$C$3:$C$6802,Results!C245)/1000</f>
        <v>7376.4923699999999</v>
      </c>
      <c r="H245" s="35">
        <f t="shared" si="240"/>
        <v>1053.7846242857142</v>
      </c>
      <c r="I245" s="187">
        <v>5</v>
      </c>
      <c r="J245" s="212">
        <v>7380</v>
      </c>
      <c r="K245" s="217">
        <f t="shared" si="241"/>
        <v>1476</v>
      </c>
      <c r="L245" s="34">
        <f t="shared" si="234"/>
        <v>5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1547.2725316947922</v>
      </c>
      <c r="N245" s="57">
        <v>1</v>
      </c>
      <c r="O245" s="57">
        <v>0</v>
      </c>
      <c r="P245" s="61">
        <f t="shared" si="235"/>
        <v>6</v>
      </c>
      <c r="Q245" s="40">
        <f t="shared" si="242"/>
        <v>1547.2725316947922</v>
      </c>
      <c r="R245" s="40">
        <f t="shared" si="243"/>
        <v>0</v>
      </c>
      <c r="S245" s="44">
        <f t="shared" si="244"/>
        <v>9283.6351901687522</v>
      </c>
      <c r="T245" s="35">
        <f t="shared" si="245"/>
        <v>6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1664.3812615775905</v>
      </c>
      <c r="V245" s="57">
        <v>0</v>
      </c>
      <c r="W245" s="57">
        <v>0</v>
      </c>
      <c r="X245" s="61">
        <f t="shared" si="236"/>
        <v>6</v>
      </c>
      <c r="Y245" s="40">
        <f t="shared" si="246"/>
        <v>0</v>
      </c>
      <c r="Z245" s="40">
        <f t="shared" si="247"/>
        <v>0</v>
      </c>
      <c r="AA245" s="44">
        <f t="shared" si="248"/>
        <v>9986.2875694655431</v>
      </c>
      <c r="AB245" s="35">
        <f t="shared" si="249"/>
        <v>6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1788.6646107953891</v>
      </c>
      <c r="AD245" s="57">
        <v>0</v>
      </c>
      <c r="AE245" s="57">
        <v>0</v>
      </c>
      <c r="AF245" s="61">
        <f t="shared" si="237"/>
        <v>6</v>
      </c>
      <c r="AG245" s="40">
        <f t="shared" si="250"/>
        <v>0</v>
      </c>
      <c r="AH245" s="40">
        <f t="shared" si="251"/>
        <v>0</v>
      </c>
      <c r="AI245" s="44">
        <f t="shared" si="252"/>
        <v>10731.987664772334</v>
      </c>
      <c r="AJ245" s="35">
        <f t="shared" si="238"/>
        <v>6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1918.5982254163177</v>
      </c>
      <c r="AL245" s="57">
        <v>0</v>
      </c>
      <c r="AM245" s="57">
        <v>0</v>
      </c>
      <c r="AN245" s="61">
        <f t="shared" si="239"/>
        <v>6</v>
      </c>
      <c r="AO245" s="40">
        <f t="shared" si="253"/>
        <v>0</v>
      </c>
      <c r="AP245" s="40">
        <f t="shared" si="254"/>
        <v>0</v>
      </c>
      <c r="AQ245" s="44">
        <f t="shared" si="255"/>
        <v>11511.589352497907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24.967169999999999</v>
      </c>
      <c r="H246" s="35">
        <f t="shared" si="240"/>
        <v>0</v>
      </c>
      <c r="I246" s="187">
        <v>0</v>
      </c>
      <c r="J246" s="212">
        <v>0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1</v>
      </c>
      <c r="O246" s="57">
        <v>0</v>
      </c>
      <c r="P246" s="61">
        <f t="shared" si="235"/>
        <v>1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1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1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1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1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1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1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>
        <v>0</v>
      </c>
      <c r="J247" s="212">
        <v>0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>
        <v>0</v>
      </c>
      <c r="J248" s="212">
        <v>16338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1216</v>
      </c>
      <c r="G252" s="41">
        <f>SUM(G232:G251)</f>
        <v>144593.34915999998</v>
      </c>
      <c r="H252" s="41">
        <f>IFERROR(G252/F252,0)</f>
        <v>118.90900424342104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332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136993</v>
      </c>
      <c r="K252" s="41">
        <f>IFERROR(J252/I252,"")</f>
        <v>412.62951807228916</v>
      </c>
      <c r="L252" s="41">
        <f>SUM(L232:L251)</f>
        <v>332</v>
      </c>
      <c r="M252" s="41">
        <f>IFERROR(S252/P252,0)</f>
        <v>401.02169393841137</v>
      </c>
      <c r="N252" s="41">
        <f t="shared" ref="N252:T252" si="256">SUM(N232:N251)</f>
        <v>24</v>
      </c>
      <c r="O252" s="41">
        <f t="shared" si="256"/>
        <v>0</v>
      </c>
      <c r="P252" s="41">
        <f t="shared" si="256"/>
        <v>356</v>
      </c>
      <c r="Q252" s="41">
        <f t="shared" si="256"/>
        <v>12393.622604435936</v>
      </c>
      <c r="R252" s="41">
        <f t="shared" si="256"/>
        <v>0</v>
      </c>
      <c r="S252" s="45">
        <f t="shared" si="256"/>
        <v>142763.72304207445</v>
      </c>
      <c r="T252" s="41">
        <f t="shared" si="256"/>
        <v>356</v>
      </c>
      <c r="U252" s="41">
        <f>IFERROR(AA252/X252,0)</f>
        <v>434.30272360081699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356</v>
      </c>
      <c r="Y252" s="41">
        <f t="shared" si="257"/>
        <v>0</v>
      </c>
      <c r="Z252" s="41">
        <f t="shared" si="257"/>
        <v>0</v>
      </c>
      <c r="AA252" s="45">
        <f t="shared" si="257"/>
        <v>154611.76960189085</v>
      </c>
      <c r="AB252" s="41">
        <f t="shared" si="257"/>
        <v>356</v>
      </c>
      <c r="AC252" s="41">
        <f>IFERROR(AI252/AF252,0)</f>
        <v>469.9117910606904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356</v>
      </c>
      <c r="AG252" s="41">
        <f t="shared" si="258"/>
        <v>0</v>
      </c>
      <c r="AH252" s="41">
        <f t="shared" si="258"/>
        <v>0</v>
      </c>
      <c r="AI252" s="45">
        <f t="shared" si="258"/>
        <v>167288.59761760579</v>
      </c>
      <c r="AJ252" s="41">
        <f t="shared" si="258"/>
        <v>356</v>
      </c>
      <c r="AK252" s="41">
        <f>IFERROR(AQ252/AN252,0)</f>
        <v>507.49443587162318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356</v>
      </c>
      <c r="AO252" s="41">
        <f t="shared" si="259"/>
        <v>0</v>
      </c>
      <c r="AP252" s="41">
        <f t="shared" si="259"/>
        <v>0</v>
      </c>
      <c r="AQ252" s="45">
        <f t="shared" si="259"/>
        <v>180668.01917029786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233698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153353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137912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148393.31200000001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90934.276957925555</v>
      </c>
      <c r="T254" s="39"/>
      <c r="U254" s="39"/>
      <c r="V254" s="53"/>
      <c r="W254" s="53"/>
      <c r="X254" s="110"/>
      <c r="Y254" s="39"/>
      <c r="Z254" s="39"/>
      <c r="AA254" s="54">
        <f>AA253-AA252</f>
        <v>-1258.7696018908464</v>
      </c>
      <c r="AB254" s="39"/>
      <c r="AC254" s="53"/>
      <c r="AD254" s="53"/>
      <c r="AE254" s="110"/>
      <c r="AF254" s="39"/>
      <c r="AG254" s="39"/>
      <c r="AH254" s="39"/>
      <c r="AI254" s="54">
        <f>AI253-AI252</f>
        <v>-29376.597617605788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-32274.707170297857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ouI1MlCc/V/rF7F4kf9pw5az2yN6xF2jdpkO0tw4fY6QTsd18lW7M+CP21T4xxHUiMAriqLFoR9R1Fxt3Y/fdQ==" saltValue="Alk6ks0SrSwfCRkY+bRA0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Statistics South Africa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12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42671.494240162036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NAT_HRBP__42671.494240162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HRBP-Vote12.xlsx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openxmlformats.org/package/2006/metadata/core-properties"/>
    <ds:schemaRef ds:uri="http://purl.org/dc/terms/"/>
    <ds:schemaRef ds:uri="df7ca258-5e24-45de-bd31-dbc76bc6765a"/>
    <ds:schemaRef ds:uri="http://schemas.microsoft.com/office/2006/documentManagement/types"/>
    <ds:schemaRef ds:uri="http://purl.org/dc/elements/1.1/"/>
    <ds:schemaRef ds:uri="http://purl.org/dc/dcmitype/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